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Fondsenmozaiek\BeleggersGiroSysteem\Excel Tools\Jaarruimte\"/>
    </mc:Choice>
  </mc:AlternateContent>
  <xr:revisionPtr revIDLastSave="0" documentId="13_ncr:1_{1A934282-6A1C-457B-9025-6749330E0C40}" xr6:coauthVersionLast="47" xr6:coauthVersionMax="47" xr10:uidLastSave="{00000000-0000-0000-0000-000000000000}"/>
  <workbookProtection workbookAlgorithmName="SHA-512" workbookHashValue="XZbmlG0kk7ibpb3ZWBWobCcuMimv6iozm6Mg1mLWFqEjiByNlomeuzFYn5UXQY7c4M0xFHgtUBM5rCBFQ7HsWQ==" workbookSaltValue="IAG3oU0SfUOXTN3Yp4OVHA==" workbookSpinCount="100000" lockStructure="1"/>
  <bookViews>
    <workbookView xWindow="-120" yWindow="-120" windowWidth="29040" windowHeight="17640" xr2:uid="{0E84A0D1-3A1D-424A-8B11-8EF99E3E87C0}"/>
  </bookViews>
  <sheets>
    <sheet name="Rekenblad" sheetId="2" r:id="rId1"/>
    <sheet name="Kopieren" sheetId="3" r:id="rId2"/>
    <sheet name="Variabelen" sheetId="1" state="hidden" r:id="rId3"/>
    <sheet name="versie" sheetId="4" state="hidden" r:id="rId4"/>
  </sheets>
  <definedNames>
    <definedName name="AOW_5">Rekenblad!$G$7</definedName>
    <definedName name="de_naam">Rekenblad!$L$1</definedName>
    <definedName name="FORmax">Variabelen!$K:$K</definedName>
    <definedName name="FORpercentage">Variabelen!$J:$J</definedName>
    <definedName name="franchise">Variabelen!$B:$B</definedName>
    <definedName name="jaar">Variabelen!$A:$A</definedName>
    <definedName name="loondienst">Rekenblad!$B$8</definedName>
    <definedName name="maxjaarruimte">Variabelen!$G:$G</definedName>
    <definedName name="maxPG">Variabelen!$F:$F</definedName>
    <definedName name="maxsalaris">Variabelen!$L:$L</definedName>
    <definedName name="ondernemer">Rekenblad!$B$9</definedName>
    <definedName name="percentage">Variabelen!$C:$C</definedName>
    <definedName name="rekenjaar">Rekenblad!$D$2</definedName>
    <definedName name="rekenjaarmin1">Rekenblad!$D$16</definedName>
    <definedName name="rekenjaarmin10">Rekenblad!$M$16</definedName>
    <definedName name="rekenjaarmin2">Rekenblad!$E$16</definedName>
    <definedName name="rekenjaarmin3">Rekenblad!$F$16</definedName>
    <definedName name="rekenjaarmin4">Rekenblad!$G$16</definedName>
    <definedName name="rekenjaarmin5">Rekenblad!$H$16</definedName>
    <definedName name="rekenjaarmin6">Rekenblad!$I$16</definedName>
    <definedName name="rekenjaarmin7">Rekenblad!$J$16</definedName>
    <definedName name="rekenjaarmin8">Rekenblad!$K$16</definedName>
    <definedName name="rekenjaarmin9">Rekenblad!$L$16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2" l="1" a="1"/>
  <c r="L1" i="2"/>
  <c r="P4" i="1"/>
  <c r="P5" i="1"/>
  <c r="P6" i="1"/>
  <c r="P7" i="1"/>
  <c r="P8" i="1"/>
  <c r="P9" i="1"/>
  <c r="P10" i="1"/>
  <c r="P11" i="1"/>
  <c r="P12" i="1"/>
  <c r="P13" i="1"/>
  <c r="P14" i="1"/>
  <c r="P15" i="1"/>
  <c r="P16" i="1"/>
  <c r="P17" i="1"/>
  <c r="P18" i="1"/>
  <c r="P19" i="1"/>
  <c r="P20" i="1"/>
  <c r="P21" i="1"/>
  <c r="P22" i="1"/>
  <c r="P23" i="1"/>
  <c r="P24" i="1"/>
  <c r="P25" i="1"/>
  <c r="P26" i="1"/>
  <c r="P27" i="1"/>
  <c r="P28" i="1"/>
  <c r="P29" i="1"/>
  <c r="P3" i="1"/>
  <c r="F15" i="1" l="1"/>
  <c r="F16" i="1"/>
  <c r="F17" i="1"/>
  <c r="F18" i="1"/>
  <c r="F19" i="1"/>
  <c r="F20" i="1"/>
  <c r="F21" i="1"/>
  <c r="F22" i="1"/>
  <c r="F23" i="1"/>
  <c r="F24" i="1"/>
  <c r="F25" i="1"/>
  <c r="H7" i="2" l="1"/>
  <c r="A12" i="2" l="1"/>
  <c r="A47" i="2" l="1"/>
  <c r="A45" i="2" l="1"/>
  <c r="A53" i="2"/>
  <c r="A50" i="2"/>
  <c r="B7" i="2" l="1"/>
  <c r="A20" i="2"/>
  <c r="A21" i="2"/>
  <c r="B17" i="2"/>
  <c r="F14" i="1" l="1"/>
  <c r="L11" i="3" l="1"/>
  <c r="K11" i="3"/>
  <c r="J11" i="3"/>
  <c r="I11" i="3"/>
  <c r="H11" i="3"/>
  <c r="G11" i="3"/>
  <c r="F11" i="3"/>
  <c r="E11" i="3"/>
  <c r="D11" i="3"/>
  <c r="C11" i="3"/>
  <c r="B11" i="3"/>
  <c r="L8" i="3"/>
  <c r="K8" i="3"/>
  <c r="J8" i="3"/>
  <c r="I8" i="3"/>
  <c r="H8" i="3"/>
  <c r="G8" i="3"/>
  <c r="F8" i="3"/>
  <c r="E8" i="3"/>
  <c r="D8" i="3"/>
  <c r="L7" i="3"/>
  <c r="K7" i="3"/>
  <c r="J7" i="3"/>
  <c r="I7" i="3"/>
  <c r="H7" i="3"/>
  <c r="G7" i="3"/>
  <c r="F7" i="3"/>
  <c r="E7" i="3"/>
  <c r="D7" i="3"/>
  <c r="L6" i="3"/>
  <c r="K6" i="3"/>
  <c r="J6" i="3"/>
  <c r="I6" i="3"/>
  <c r="H6" i="3"/>
  <c r="G6" i="3"/>
  <c r="F6" i="3"/>
  <c r="E6" i="3"/>
  <c r="D6" i="3"/>
  <c r="L5" i="3"/>
  <c r="K5" i="3"/>
  <c r="J5" i="3"/>
  <c r="I5" i="3"/>
  <c r="H5" i="3"/>
  <c r="G5" i="3"/>
  <c r="F5" i="3"/>
  <c r="E5" i="3"/>
  <c r="D5" i="3"/>
  <c r="C8" i="3"/>
  <c r="C7" i="3"/>
  <c r="C6" i="3"/>
  <c r="B4" i="3"/>
  <c r="C5" i="3"/>
  <c r="B8" i="3"/>
  <c r="B7" i="3"/>
  <c r="B6" i="3"/>
  <c r="B5" i="3"/>
  <c r="D12" i="2"/>
  <c r="M16" i="2"/>
  <c r="M17" i="2" s="1"/>
  <c r="L4" i="3" l="1"/>
  <c r="B11" i="2"/>
  <c r="E7" i="2"/>
  <c r="G7" i="2" l="1"/>
  <c r="A7" i="2"/>
  <c r="A10" i="2" l="1"/>
  <c r="A37" i="2"/>
  <c r="L16" i="2" l="1"/>
  <c r="L17" i="2" s="1"/>
  <c r="K16" i="2"/>
  <c r="K17" i="2" s="1"/>
  <c r="J16" i="2"/>
  <c r="J17" i="2" s="1"/>
  <c r="I16" i="2"/>
  <c r="I17" i="2" s="1"/>
  <c r="H16" i="2"/>
  <c r="H17" i="2" s="1"/>
  <c r="G16" i="2"/>
  <c r="G17" i="2" s="1"/>
  <c r="F16" i="2"/>
  <c r="F17" i="2" s="1"/>
  <c r="E16" i="2"/>
  <c r="E17" i="2" s="1"/>
  <c r="D16" i="2"/>
  <c r="D17" i="2" s="1"/>
  <c r="D4" i="3" l="1"/>
  <c r="E4" i="3"/>
  <c r="J4" i="3"/>
  <c r="H4" i="3"/>
  <c r="I4" i="3"/>
  <c r="F4" i="3"/>
  <c r="G4" i="3"/>
  <c r="K4" i="3"/>
  <c r="D11" i="2"/>
  <c r="C4" i="3"/>
  <c r="F13" i="1"/>
  <c r="F12" i="1"/>
  <c r="F11" i="1"/>
  <c r="F10" i="1"/>
  <c r="F9" i="1"/>
  <c r="D9" i="1"/>
  <c r="D10" i="1" s="1"/>
  <c r="D11" i="1" s="1"/>
  <c r="D12" i="1" s="1"/>
  <c r="D13" i="1" s="1"/>
  <c r="D14" i="1" s="1"/>
  <c r="D15" i="1" s="1"/>
  <c r="D16" i="1" s="1"/>
  <c r="D17" i="1" s="1"/>
  <c r="D18" i="1" s="1"/>
  <c r="D19" i="1" s="1"/>
  <c r="D20" i="1" s="1"/>
  <c r="D21" i="1" s="1"/>
  <c r="D22" i="1" s="1"/>
  <c r="D23" i="1" s="1"/>
  <c r="D24" i="1" s="1"/>
  <c r="D25" i="1" s="1"/>
  <c r="C9" i="1"/>
  <c r="G8" i="1"/>
  <c r="F8" i="1"/>
  <c r="F7" i="1"/>
  <c r="F6" i="1"/>
  <c r="F5" i="1"/>
  <c r="A4" i="1"/>
  <c r="A3" i="1" s="1"/>
  <c r="D28" i="2" l="1"/>
  <c r="B31" i="2"/>
  <c r="B28" i="2"/>
  <c r="M28" i="2"/>
  <c r="L28" i="2"/>
  <c r="G28" i="2"/>
  <c r="F28" i="2"/>
  <c r="H28" i="2"/>
  <c r="J28" i="2"/>
  <c r="K28" i="2"/>
  <c r="E28" i="2"/>
  <c r="I28" i="2"/>
  <c r="B30" i="2"/>
  <c r="B26" i="2"/>
  <c r="B27" i="2"/>
  <c r="L30" i="2"/>
  <c r="D30" i="2"/>
  <c r="E30" i="2"/>
  <c r="I30" i="2"/>
  <c r="F30" i="2"/>
  <c r="G26" i="2"/>
  <c r="G29" i="2" s="1"/>
  <c r="K26" i="2"/>
  <c r="H26" i="2"/>
  <c r="H29" i="2" s="1"/>
  <c r="M26" i="2"/>
  <c r="J26" i="2"/>
  <c r="J27" i="2"/>
  <c r="H27" i="2"/>
  <c r="K30" i="2"/>
  <c r="H30" i="2"/>
  <c r="M30" i="2"/>
  <c r="J30" i="2"/>
  <c r="L27" i="2"/>
  <c r="K27" i="2"/>
  <c r="G30" i="2"/>
  <c r="I27" i="2"/>
  <c r="L26" i="2"/>
  <c r="D26" i="2"/>
  <c r="D29" i="2" s="1"/>
  <c r="E26" i="2"/>
  <c r="E29" i="2" s="1"/>
  <c r="I26" i="2"/>
  <c r="I29" i="2" s="1"/>
  <c r="I33" i="2" s="1"/>
  <c r="I35" i="2" s="1"/>
  <c r="F26" i="2"/>
  <c r="C10" i="1"/>
  <c r="C11" i="1" s="1"/>
  <c r="G9" i="1"/>
  <c r="G27" i="2" l="1"/>
  <c r="G33" i="2" s="1"/>
  <c r="G35" i="2" s="1"/>
  <c r="L29" i="2"/>
  <c r="L33" i="2" s="1"/>
  <c r="L35" i="2" s="1"/>
  <c r="H33" i="2"/>
  <c r="H35" i="2" s="1"/>
  <c r="B29" i="2"/>
  <c r="B33" i="2" s="1"/>
  <c r="B35" i="2" s="1"/>
  <c r="F29" i="2"/>
  <c r="J29" i="2"/>
  <c r="J33" i="2" s="1"/>
  <c r="J35" i="2" s="1"/>
  <c r="K29" i="2"/>
  <c r="K33" i="2" s="1"/>
  <c r="K35" i="2" s="1"/>
  <c r="M29" i="2"/>
  <c r="M27" i="2"/>
  <c r="F27" i="2"/>
  <c r="C12" i="1"/>
  <c r="E27" i="2" s="1"/>
  <c r="E33" i="2" s="1"/>
  <c r="E35" i="2" s="1"/>
  <c r="G11" i="1"/>
  <c r="M33" i="2" l="1"/>
  <c r="M35" i="2" s="1"/>
  <c r="F33" i="2"/>
  <c r="F35" i="2" s="1"/>
  <c r="G12" i="1"/>
  <c r="D27" i="2"/>
  <c r="D33" i="2" s="1"/>
  <c r="D35" i="2" s="1"/>
  <c r="B36" i="2" l="1"/>
  <c r="B37"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<sst xmlns="http://schemas.openxmlformats.org/spreadsheetml/2006/main" count="71" uniqueCount="66">
  <si>
    <t>Franchise</t>
  </si>
  <si>
    <t>Percentage</t>
  </si>
  <si>
    <t>Jaarruimte</t>
  </si>
  <si>
    <t>FOR %</t>
  </si>
  <si>
    <t>Max. FOR</t>
  </si>
  <si>
    <t>Factor A factor</t>
  </si>
  <si>
    <t>Max salaris</t>
  </si>
  <si>
    <t>Max PG</t>
  </si>
  <si>
    <t>Max jaarruimte</t>
  </si>
  <si>
    <t>Naam</t>
  </si>
  <si>
    <t>Geboortedatum</t>
  </si>
  <si>
    <t>Maximale premiegrondslag</t>
  </si>
  <si>
    <t>Percentage jaarruimte</t>
  </si>
  <si>
    <t>VARIABELEN</t>
  </si>
  <si>
    <t>Premiegrondslag</t>
  </si>
  <si>
    <t>Waarvan gebruikt</t>
  </si>
  <si>
    <t>Ongebruikte jaarruimte</t>
  </si>
  <si>
    <t>Maximale reserveringsruimte</t>
  </si>
  <si>
    <t>Geboren t/m</t>
  </si>
  <si>
    <t>AOW tabel</t>
  </si>
  <si>
    <t>AOW leeftijd</t>
  </si>
  <si>
    <t>Berekening voor belastingjaar</t>
  </si>
  <si>
    <t>Reserveringsruimte</t>
  </si>
  <si>
    <t>Jaar</t>
  </si>
  <si>
    <t>Max reserv.ruimte 55-</t>
  </si>
  <si>
    <t>Max reserv.ruimte 55+</t>
  </si>
  <si>
    <t>….even kennismaken</t>
  </si>
  <si>
    <t>Ik ben in loondienst (geweest)</t>
  </si>
  <si>
    <t>ja</t>
  </si>
  <si>
    <t>Factor A</t>
  </si>
  <si>
    <t>Winst/verlies</t>
  </si>
  <si>
    <t>Gebruikte jaarruimte</t>
  </si>
  <si>
    <t>Ga je je reserveringsruimte benutten, en wil je volgend jaar opnieuw gebruik kunnen maken van deze berekeningstool? Vul dan hieronder in de vakken hoeveel van de beschikbare reserveringsruimte je daadwerkelijk over het betreffende jaar hebt gebruikt. Werk van rechts naar links.</t>
  </si>
  <si>
    <t>Onderstaande gegevens kun je volgend jaar opnieuw gebruiken in de geupdate versie voor 2024. Zo hoef je niet alle gegevens van voorgaande jaren opnieuw op te vragen en in te vullen.</t>
  </si>
  <si>
    <t>Overige uitkeringen/werkzaamheden</t>
  </si>
  <si>
    <t>Factor netto</t>
  </si>
  <si>
    <t>Toename FOR</t>
  </si>
  <si>
    <t>2023.06</t>
  </si>
  <si>
    <t>Wijzigingen</t>
  </si>
  <si>
    <t>Versie</t>
  </si>
  <si>
    <t>Berekening jaarruimte gecorrigeerd</t>
  </si>
  <si>
    <t>Lay out aangepast</t>
  </si>
  <si>
    <t>Loondienst ja/nee, ondernemer ja/nee, met voorwaardelijke opmaak</t>
  </si>
  <si>
    <t>2023.07</t>
  </si>
  <si>
    <t>2023.08</t>
  </si>
  <si>
    <t>Leeftijd verbergen</t>
  </si>
  <si>
    <t>Reserveringsruimte aangepast naar38,000</t>
  </si>
  <si>
    <t>Beveiliging toegepast</t>
  </si>
  <si>
    <t>Loondienst nee? Dan loon en factor A buiten de berekening houden</t>
  </si>
  <si>
    <t>Ondernemer nee? Dan winst en FOR buiten de berekening houden</t>
  </si>
  <si>
    <t>AOW</t>
  </si>
  <si>
    <t>AOW+5</t>
  </si>
  <si>
    <t>T. Voorbeeld</t>
  </si>
  <si>
    <t xml:space="preserve">AOW + 5 = geen jaarruimte meer </t>
  </si>
  <si>
    <t>leeftijd aangepast (+1 maand), en verborgen</t>
  </si>
  <si>
    <t>Disclaimer</t>
  </si>
  <si>
    <t>Deze disclaimer kan van tijd tot tijd wijzigen.</t>
  </si>
  <si>
    <t>2023.09</t>
  </si>
  <si>
    <t>Disclaimer toegevoegd</t>
  </si>
  <si>
    <t>Ik ben ondernemer (geweest)</t>
  </si>
  <si>
    <t>Inkomen uit loondienst</t>
  </si>
  <si>
    <t>jaar</t>
  </si>
  <si>
    <t>maanden</t>
  </si>
  <si>
    <t>Kopieer je bovenstaande gegevens naar een geactualiseerde versie? Plak dan alleen Waarden (zonder formules)</t>
  </si>
  <si>
    <t>2025.1</t>
  </si>
  <si>
    <t>variabelen bijgewerkt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</si>
</sst>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 #,##0_ ;_ &quot;€&quot;\ * \-#,##0_ ;_ &quot;€&quot;\ * &quot;-&quot;_ ;_ @_ "/>
    <numFmt numFmtId="44" formatCode="_ &quot;€&quot;\ * #,##0.00_ ;_ &quot;€&quot;\ * \-#,##0.00_ ;_ &quot;€&quot;\ * &quot;-&quot;??_ ;_ @_ "/>
    <numFmt numFmtId="164" formatCode="_-&quot;€&quot;* #,##0_-;_-&quot;€&quot;* #,##0\-;_-&quot;€&quot;* &quot;-&quot;??_-;_-@_-"/>
    <numFmt numFmtId="165" formatCode="0.0%"/>
    <numFmt numFmtId="166" formatCode="_-[$€-2]\ * #,##0_-;_-[$€-2]\ * #,##0\-;_-[$€-2]\ * &quot;-&quot;??_-;_-@_-"/>
    <numFmt numFmtId="167" formatCode="_-* #,##0_-;\-* #,##0_-;_-* &quot;-&quot;??_-;_-@_-"/>
    <numFmt numFmtId="168" formatCode="#,##0.00_ ;\-#,##0.00\ "/>
    <numFmt numFmtId="169" formatCode="[$-413]d\ mmmm\ yyyy;@"/>
    <numFmt numFmtId="170" formatCode="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28"/>
      <color theme="0"/>
      <name val="Calibri"/>
      <family val="2"/>
      <scheme val="minor"/>
    </font>
    <font>
      <i/>
      <sz val="11"/>
      <color theme="1"/>
      <name val="Calibri"/>
      <family val="2"/>
      <scheme val="minor"/>
    </font>
    <font>
      <b/>
      <sz val="12"/>
      <name val="Calibri"/>
      <family val="2"/>
      <scheme val="minor"/>
    </font>
    <font>
      <sz val="11"/>
      <color theme="0"/>
      <name val="Calibri"/>
      <family val="2"/>
      <scheme val="minor"/>
    </font>
    <font>
      <b/>
      <sz val="14"/>
      <color theme="1"/>
      <name val="Calibri"/>
      <family val="2"/>
      <scheme val="minor"/>
    </font>
    <font>
      <b/>
      <sz val="11"/>
      <name val="Calibri"/>
      <family val="2"/>
      <scheme val="minor"/>
    </font>
    <font>
      <b/>
      <i/>
      <sz val="11"/>
      <color theme="1"/>
      <name val="Calibri"/>
      <family val="2"/>
      <scheme val="minor"/>
    </font>
    <font>
      <b/>
      <i/>
      <sz val="14"/>
      <color theme="1"/>
      <name val="Calibri"/>
      <family val="2"/>
      <scheme val="minor"/>
    </font>
    <font>
      <sz val="10"/>
      <color theme="1"/>
      <name val="Calibri"/>
      <family val="2"/>
      <scheme val="minor"/>
    </font>
    <font>
      <i/>
      <sz val="10"/>
      <color theme="1"/>
      <name val="Calibri"/>
      <family val="2"/>
      <scheme val="minor"/>
    </font>
    <font>
      <b/>
      <i/>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AF272F"/>
        <bgColor indexed="64"/>
      </patternFill>
    </fill>
    <fill>
      <patternFill patternType="solid">
        <fgColor rgb="FF94795D"/>
        <bgColor indexed="64"/>
      </patternFill>
    </fill>
    <fill>
      <patternFill patternType="solid">
        <fgColor rgb="FF708573"/>
        <bgColor indexed="64"/>
      </patternFill>
    </fill>
    <fill>
      <patternFill patternType="solid">
        <fgColor rgb="FFFFFF00"/>
        <bgColor indexed="64"/>
      </patternFill>
    </fill>
  </fills>
  <borders count="7">
    <border>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3" fillId="0" borderId="0" xfId="0" applyFont="1"/>
    <xf numFmtId="42" fontId="0" fillId="0" borderId="0" xfId="0" applyNumberFormat="1"/>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0" fillId="2" borderId="1" xfId="0" applyFill="1" applyBorder="1" applyAlignment="1">
      <alignment horizontal="left" vertical="center"/>
    </xf>
    <xf numFmtId="0" fontId="4" fillId="2" borderId="5" xfId="0" applyFont="1" applyFill="1" applyBorder="1" applyAlignment="1">
      <alignment horizontal="left" vertical="center" wrapText="1"/>
    </xf>
    <xf numFmtId="0" fontId="8" fillId="0" borderId="5" xfId="0" applyFont="1" applyBorder="1" applyAlignment="1">
      <alignment horizontal="left" vertical="center" wrapText="1"/>
    </xf>
    <xf numFmtId="164" fontId="0" fillId="2" borderId="4" xfId="1" applyNumberFormat="1" applyFont="1" applyFill="1" applyBorder="1"/>
    <xf numFmtId="166" fontId="0" fillId="2" borderId="4" xfId="1" applyNumberFormat="1" applyFont="1" applyFill="1" applyBorder="1" applyAlignment="1">
      <alignment horizontal="right"/>
    </xf>
    <xf numFmtId="164" fontId="0" fillId="0" borderId="4" xfId="1" applyNumberFormat="1" applyFont="1" applyBorder="1"/>
    <xf numFmtId="166" fontId="0" fillId="0" borderId="4" xfId="1" applyNumberFormat="1" applyFont="1" applyBorder="1" applyAlignment="1">
      <alignment horizontal="right"/>
    </xf>
    <xf numFmtId="164" fontId="0" fillId="0" borderId="4" xfId="1" applyNumberFormat="1" applyFont="1" applyFill="1" applyBorder="1"/>
    <xf numFmtId="166" fontId="0" fillId="0" borderId="4" xfId="1" applyNumberFormat="1" applyFont="1" applyFill="1" applyBorder="1" applyAlignment="1">
      <alignment horizontal="right"/>
    </xf>
    <xf numFmtId="0" fontId="5" fillId="0" borderId="4" xfId="0" applyFont="1" applyBorder="1"/>
    <xf numFmtId="0" fontId="3" fillId="2" borderId="4" xfId="0" applyFont="1" applyFill="1" applyBorder="1" applyAlignment="1">
      <alignment horizontal="right" vertical="top"/>
    </xf>
    <xf numFmtId="0" fontId="11" fillId="0" borderId="4" xfId="0" applyFont="1" applyBorder="1" applyAlignment="1">
      <alignment horizontal="right" vertical="top"/>
    </xf>
    <xf numFmtId="0" fontId="0" fillId="2" borderId="4" xfId="0" applyFill="1" applyBorder="1"/>
    <xf numFmtId="14" fontId="0" fillId="2" borderId="0" xfId="0" applyNumberFormat="1" applyFill="1"/>
    <xf numFmtId="0" fontId="0" fillId="2" borderId="0" xfId="0" applyFill="1"/>
    <xf numFmtId="164" fontId="5" fillId="2" borderId="4" xfId="1" applyNumberFormat="1" applyFont="1" applyFill="1" applyBorder="1"/>
    <xf numFmtId="10" fontId="5" fillId="2" borderId="4" xfId="0" applyNumberFormat="1" applyFont="1" applyFill="1" applyBorder="1"/>
    <xf numFmtId="2" fontId="5" fillId="2" borderId="4" xfId="0" applyNumberFormat="1" applyFont="1" applyFill="1" applyBorder="1"/>
    <xf numFmtId="164" fontId="5" fillId="0" borderId="4" xfId="1" applyNumberFormat="1" applyFont="1" applyFill="1" applyBorder="1"/>
    <xf numFmtId="165" fontId="0" fillId="2" borderId="4" xfId="0" applyNumberFormat="1" applyFill="1" applyBorder="1"/>
    <xf numFmtId="164" fontId="5" fillId="2" borderId="4" xfId="0" applyNumberFormat="1" applyFont="1" applyFill="1" applyBorder="1"/>
    <xf numFmtId="0" fontId="0" fillId="0" borderId="4" xfId="0" applyBorder="1"/>
    <xf numFmtId="164" fontId="5" fillId="0" borderId="4" xfId="1" applyNumberFormat="1" applyFont="1" applyBorder="1"/>
    <xf numFmtId="10" fontId="5" fillId="0" borderId="4" xfId="0" applyNumberFormat="1" applyFont="1" applyBorder="1"/>
    <xf numFmtId="2" fontId="5" fillId="0" borderId="4" xfId="0" applyNumberFormat="1" applyFont="1" applyBorder="1"/>
    <xf numFmtId="165" fontId="0" fillId="0" borderId="4" xfId="0" applyNumberFormat="1" applyBorder="1"/>
    <xf numFmtId="164" fontId="5" fillId="0" borderId="4" xfId="0" applyNumberFormat="1" applyFont="1" applyBorder="1"/>
    <xf numFmtId="14" fontId="0" fillId="0" borderId="0" xfId="0" applyNumberFormat="1"/>
    <xf numFmtId="10" fontId="0" fillId="0" borderId="4" xfId="0" applyNumberFormat="1" applyBorder="1"/>
    <xf numFmtId="44" fontId="0" fillId="2" borderId="4" xfId="0" applyNumberFormat="1" applyFill="1" applyBorder="1"/>
    <xf numFmtId="167" fontId="0" fillId="2" borderId="4" xfId="0" applyNumberFormat="1" applyFill="1" applyBorder="1"/>
    <xf numFmtId="0" fontId="7" fillId="0" borderId="0" xfId="0" applyFont="1"/>
    <xf numFmtId="0" fontId="0" fillId="6" borderId="4" xfId="0" applyFill="1" applyBorder="1"/>
    <xf numFmtId="170" fontId="4" fillId="2" borderId="5" xfId="0" applyNumberFormat="1" applyFont="1" applyFill="1" applyBorder="1" applyAlignment="1">
      <alignment horizontal="left" vertical="center" wrapText="1"/>
    </xf>
    <xf numFmtId="170" fontId="3" fillId="2" borderId="4" xfId="0" applyNumberFormat="1" applyFont="1" applyFill="1" applyBorder="1" applyAlignment="1">
      <alignment horizontal="right" vertical="top"/>
    </xf>
    <xf numFmtId="170" fontId="5" fillId="2" borderId="4" xfId="0" applyNumberFormat="1" applyFont="1" applyFill="1" applyBorder="1"/>
    <xf numFmtId="170" fontId="5" fillId="0" borderId="4" xfId="0" applyNumberFormat="1" applyFont="1" applyBorder="1"/>
    <xf numFmtId="170" fontId="0" fillId="2" borderId="4" xfId="0" applyNumberFormat="1" applyFill="1" applyBorder="1"/>
    <xf numFmtId="0" fontId="6" fillId="3" borderId="0" xfId="0" applyFont="1" applyFill="1"/>
    <xf numFmtId="0" fontId="9" fillId="3" borderId="0" xfId="0" applyFont="1" applyFill="1"/>
    <xf numFmtId="0" fontId="3" fillId="0" borderId="0" xfId="0" applyFont="1" applyAlignment="1">
      <alignment horizontal="right"/>
    </xf>
    <xf numFmtId="0" fontId="13" fillId="0" borderId="0" xfId="0" applyFont="1"/>
    <xf numFmtId="0" fontId="10" fillId="0" borderId="0" xfId="0" applyFont="1"/>
    <xf numFmtId="0" fontId="14" fillId="0" borderId="0" xfId="0" applyFont="1"/>
    <xf numFmtId="0" fontId="15" fillId="0" borderId="0" xfId="0" applyFont="1" applyAlignment="1">
      <alignment horizontal="right"/>
    </xf>
    <xf numFmtId="42" fontId="2" fillId="5" borderId="6" xfId="1" applyNumberFormat="1" applyFont="1" applyFill="1" applyBorder="1" applyProtection="1"/>
    <xf numFmtId="10" fontId="2" fillId="5" borderId="6" xfId="2" applyNumberFormat="1" applyFont="1" applyFill="1" applyBorder="1" applyProtection="1"/>
    <xf numFmtId="10" fontId="0" fillId="0" borderId="0" xfId="0" applyNumberFormat="1"/>
    <xf numFmtId="168" fontId="2" fillId="5" borderId="6" xfId="1" applyNumberFormat="1" applyFont="1" applyFill="1" applyBorder="1" applyProtection="1"/>
    <xf numFmtId="42" fontId="2" fillId="4" borderId="6" xfId="1" applyNumberFormat="1" applyFont="1" applyFill="1" applyBorder="1" applyAlignment="1" applyProtection="1">
      <alignment horizontal="right"/>
      <protection locked="0"/>
    </xf>
    <xf numFmtId="169" fontId="2" fillId="4" borderId="6" xfId="1" applyNumberFormat="1" applyFont="1" applyFill="1" applyBorder="1" applyAlignment="1" applyProtection="1">
      <alignment horizontal="right"/>
      <protection locked="0"/>
    </xf>
    <xf numFmtId="42" fontId="2" fillId="4" borderId="6" xfId="1" applyNumberFormat="1" applyFont="1" applyFill="1" applyBorder="1" applyProtection="1">
      <protection locked="0"/>
    </xf>
    <xf numFmtId="2" fontId="3" fillId="2" borderId="1" xfId="0" applyNumberFormat="1" applyFont="1" applyFill="1" applyBorder="1" applyAlignment="1">
      <alignment horizontal="left" vertical="center"/>
    </xf>
    <xf numFmtId="2" fontId="0" fillId="2" borderId="0" xfId="0" applyNumberFormat="1" applyFill="1"/>
    <xf numFmtId="0" fontId="0" fillId="0" borderId="0" xfId="0" applyAlignment="1">
      <alignment vertical="center"/>
    </xf>
    <xf numFmtId="0" fontId="3" fillId="0" borderId="0" xfId="0" applyFont="1" applyAlignment="1">
      <alignment vertical="center"/>
    </xf>
    <xf numFmtId="169" fontId="0" fillId="0" borderId="0" xfId="0" applyNumberFormat="1"/>
    <xf numFmtId="0" fontId="4" fillId="2" borderId="0" xfId="0" applyFont="1" applyFill="1" applyAlignment="1">
      <alignment horizontal="left" vertical="center" wrapText="1"/>
    </xf>
    <xf numFmtId="0" fontId="3" fillId="2" borderId="0" xfId="0" applyFont="1" applyFill="1" applyAlignment="1">
      <alignment horizontal="left" vertical="center"/>
    </xf>
    <xf numFmtId="2" fontId="3" fillId="2" borderId="0" xfId="0" applyNumberFormat="1" applyFont="1" applyFill="1" applyAlignment="1">
      <alignment horizontal="left" vertical="center"/>
    </xf>
    <xf numFmtId="1" fontId="3" fillId="2" borderId="3" xfId="0" applyNumberFormat="1" applyFont="1" applyFill="1" applyBorder="1" applyAlignment="1">
      <alignment horizontal="left" vertical="center"/>
    </xf>
    <xf numFmtId="1" fontId="3" fillId="2" borderId="0" xfId="0" applyNumberFormat="1" applyFont="1" applyFill="1" applyAlignment="1">
      <alignment horizontal="left" vertical="center"/>
    </xf>
    <xf numFmtId="1" fontId="3" fillId="2" borderId="2" xfId="0" applyNumberFormat="1" applyFont="1" applyFill="1" applyBorder="1" applyAlignment="1">
      <alignment horizontal="left" vertical="center"/>
    </xf>
    <xf numFmtId="1" fontId="0" fillId="2" borderId="0" xfId="0" applyNumberFormat="1" applyFill="1"/>
    <xf numFmtId="1" fontId="0" fillId="2" borderId="2" xfId="0" applyNumberFormat="1" applyFill="1" applyBorder="1"/>
    <xf numFmtId="1" fontId="0" fillId="0" borderId="2" xfId="0" applyNumberFormat="1" applyBorder="1"/>
    <xf numFmtId="1" fontId="3" fillId="2" borderId="1" xfId="0" applyNumberFormat="1" applyFont="1" applyFill="1" applyBorder="1" applyAlignment="1">
      <alignment horizontal="left" vertical="center"/>
    </xf>
    <xf numFmtId="0" fontId="7" fillId="0" borderId="0" xfId="0" applyFont="1" applyAlignment="1">
      <alignment vertical="center" wrapText="1"/>
    </xf>
    <xf numFmtId="0" fontId="7" fillId="0" borderId="0" xfId="0" applyFont="1" applyAlignment="1">
      <alignment wrapText="1"/>
    </xf>
    <xf numFmtId="0" fontId="16" fillId="0" borderId="0" xfId="0" applyFont="1"/>
    <xf numFmtId="0" fontId="3" fillId="0" borderId="0" xfId="0" applyFont="1" applyAlignment="1">
      <alignment horizontal="right" vertical="center"/>
    </xf>
    <xf numFmtId="0" fontId="3" fillId="0" borderId="0" xfId="0" applyFont="1" applyAlignment="1">
      <alignment horizontal="right"/>
    </xf>
    <xf numFmtId="0" fontId="0" fillId="0" borderId="0" xfId="0"/>
    <xf numFmtId="0" fontId="0" fillId="0" borderId="0" xfId="0" applyAlignment="1">
      <alignment vertical="center" wrapText="1"/>
    </xf>
    <xf numFmtId="0" fontId="0" fillId="0" borderId="0" xfId="0" applyAlignment="1">
      <alignment wrapText="1"/>
    </xf>
    <xf numFmtId="0" fontId="0" fillId="0" borderId="0" xfId="0" applyAlignment="1">
      <alignment vertical="center"/>
    </xf>
    <xf numFmtId="0" fontId="12" fillId="0" borderId="0" xfId="0" applyFont="1" applyAlignment="1">
      <alignment wrapText="1"/>
    </xf>
    <xf numFmtId="0" fontId="3" fillId="0" borderId="0" xfId="0" applyFont="1" applyAlignment="1">
      <alignment wrapText="1"/>
    </xf>
    <xf numFmtId="0" fontId="0" fillId="0" borderId="4" xfId="0" applyFill="1" applyBorder="1"/>
  </cellXfs>
  <cellStyles count="3">
    <cellStyle name="Procent" xfId="2" builtinId="5"/>
    <cellStyle name="Standaard" xfId="0" builtinId="0"/>
    <cellStyle name="Valuta" xfId="1" builtinId="4"/>
  </cellStyles>
  <dxfs count="8">
    <dxf>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bottom style="thin">
          <color auto="1"/>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bottom style="thin">
          <color auto="1"/>
        </bottom>
        <vertical/>
        <horizontal/>
      </border>
    </dxf>
    <dxf>
      <fill>
        <patternFill>
          <bgColor theme="0"/>
        </patternFill>
      </fill>
      <border>
        <left/>
        <right/>
        <top/>
        <bottom/>
        <vertical/>
        <horizontal/>
      </border>
    </dxf>
  </dxfs>
  <tableStyles count="0" defaultTableStyle="TableStyleMedium2" defaultPivotStyle="PivotStyleLight16"/>
  <colors>
    <mruColors>
      <color rgb="FF94795D"/>
      <color rgb="FF708573"/>
      <color rgb="FFAF27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47624</xdr:rowOff>
    </xdr:from>
    <xdr:to>
      <xdr:col>1</xdr:col>
      <xdr:colOff>321945</xdr:colOff>
      <xdr:row>0</xdr:row>
      <xdr:rowOff>990599</xdr:rowOff>
    </xdr:to>
    <xdr:pic>
      <xdr:nvPicPr>
        <xdr:cNvPr id="3" name="Afbeelding 2" descr="NNEK">
          <a:extLst>
            <a:ext uri="{FF2B5EF4-FFF2-40B4-BE49-F238E27FC236}">
              <a16:creationId xmlns:a16="http://schemas.microsoft.com/office/drawing/2014/main" id="{C0880B5F-0C6C-6A82-C2AC-AFCB98DF1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7624"/>
          <a:ext cx="238887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1C4E-7043-40A0-8008-7C1A30E566DA}">
  <dimension ref="A1:M55"/>
  <sheetViews>
    <sheetView showGridLines="0" tabSelected="1" zoomScale="70" zoomScaleNormal="70" workbookViewId="0">
      <selection activeCell="D21" sqref="D21"/>
    </sheetView>
  </sheetViews>
  <sheetFormatPr defaultRowHeight="15" x14ac:dyDescent="0.25"/>
  <cols>
    <col min="1" max="1" width="35.28515625" customWidth="1"/>
    <col min="2" max="2" width="28.140625" customWidth="1"/>
    <col min="3" max="3" width="6.28515625" customWidth="1"/>
    <col min="4" max="13" width="14.7109375" customWidth="1"/>
  </cols>
  <sheetData>
    <row r="1" spans="1:13" ht="83.25" customHeight="1" x14ac:dyDescent="0.25">
      <c r="L1" s="75" t="str" cm="1">
        <f t="array" aca="1" ref="L1" ca="1">REPLACE(LEFT(CELL("bestandsnaam",A1),SEARCH("]",CELL("bestandsnaam",A1))-6),1,SEARCH("[",CELL("bestandsnaam",A1)),"")</f>
        <v>NNEK Jaarruimte 2025.1</v>
      </c>
      <c r="M1" s="76"/>
    </row>
    <row r="2" spans="1:13" s="44" customFormat="1" ht="31.5" customHeight="1" x14ac:dyDescent="0.55000000000000004">
      <c r="A2" s="43" t="s">
        <v>21</v>
      </c>
      <c r="D2" s="43">
        <v>2025</v>
      </c>
    </row>
    <row r="3" spans="1:13" x14ac:dyDescent="0.25">
      <c r="B3" s="45"/>
      <c r="D3" s="1"/>
    </row>
    <row r="4" spans="1:13" ht="18.75" x14ac:dyDescent="0.3">
      <c r="A4" s="46" t="s">
        <v>26</v>
      </c>
      <c r="B4" s="45"/>
      <c r="D4" s="1"/>
    </row>
    <row r="5" spans="1:13" x14ac:dyDescent="0.25">
      <c r="A5" s="1" t="s">
        <v>9</v>
      </c>
      <c r="B5" s="54" t="s">
        <v>52</v>
      </c>
      <c r="D5" s="1"/>
    </row>
    <row r="6" spans="1:13" x14ac:dyDescent="0.25">
      <c r="A6" s="1" t="s">
        <v>10</v>
      </c>
      <c r="B6" s="55">
        <v>20180</v>
      </c>
      <c r="D6" s="1"/>
    </row>
    <row r="7" spans="1:13" hidden="1" x14ac:dyDescent="0.25">
      <c r="A7" s="1" t="str">
        <f>CONCATENATE("Leeftijd op 1 januari ",rekenjaar)</f>
        <v>Leeftijd op 1 januari 2025</v>
      </c>
      <c r="B7" s="53">
        <f>rekenjaar-YEAR(B6)-((MONTH(B6)-1)/12)</f>
        <v>69.75</v>
      </c>
      <c r="D7" t="s">
        <v>50</v>
      </c>
      <c r="E7" s="1">
        <f>VLOOKUP(B6,Variabelen!N:R,3)</f>
        <v>66.333333333333329</v>
      </c>
      <c r="F7" t="s">
        <v>51</v>
      </c>
      <c r="G7" t="str">
        <f>IF(B7&gt;E7+5,"ja","nee")</f>
        <v>nee</v>
      </c>
      <c r="H7" s="32">
        <f>DATE(YEAR(B6)+VLOOKUP(B6,Variabelen!N:R,4),MONTH(B6)+VLOOKUP(B6,Variabelen!N:R,5),DAY(B6))</f>
        <v>44409</v>
      </c>
      <c r="I7" s="61"/>
    </row>
    <row r="8" spans="1:13" x14ac:dyDescent="0.25">
      <c r="A8" s="1" t="s">
        <v>27</v>
      </c>
      <c r="B8" s="55" t="s">
        <v>28</v>
      </c>
      <c r="D8" s="1"/>
    </row>
    <row r="9" spans="1:13" x14ac:dyDescent="0.25">
      <c r="A9" s="1" t="s">
        <v>59</v>
      </c>
      <c r="B9" s="55" t="s">
        <v>28</v>
      </c>
      <c r="D9" s="1"/>
    </row>
    <row r="10" spans="1:13" x14ac:dyDescent="0.25">
      <c r="A10" s="74" t="str">
        <f>IF(AOW_5="ja","U kunt geen gebruik maken van deze rekentool. Lijfrenteaftrek is toegestaan tot maximaal 5 jaar na AOW-leeftijd.","")</f>
        <v/>
      </c>
      <c r="B10" s="74"/>
      <c r="C10" s="74"/>
      <c r="D10" s="74"/>
      <c r="E10" s="74"/>
      <c r="F10" s="74"/>
      <c r="G10" s="74"/>
      <c r="H10" s="74"/>
      <c r="I10" s="74"/>
      <c r="J10" s="74"/>
      <c r="K10" s="74"/>
      <c r="L10" s="74"/>
      <c r="M10" s="74"/>
    </row>
    <row r="11" spans="1:13" x14ac:dyDescent="0.25">
      <c r="B11" s="45" t="str">
        <f>CONCATENATE("JAARRUIMTE ",rekenjaar)</f>
        <v>JAARRUIMTE 2025</v>
      </c>
      <c r="D11" s="1" t="str">
        <f>CONCATENATE("RESERVERINGSRUIMTE ",rekenjaarmin10," t/m ",rekenjaarmin1)</f>
        <v>RESERVERINGSRUIMTE 2015 t/m 2024</v>
      </c>
    </row>
    <row r="12" spans="1:13" x14ac:dyDescent="0.25">
      <c r="A12" s="72" t="str">
        <f>CONCATENATE("Voor de berekening van de jaarruimte van ",rekenjaar," maak je gebruik van de financiële gegevens van ",rekenjaar-1,".")</f>
        <v>Voor de berekening van de jaarruimte van 2025 maak je gebruik van de financiële gegevens van 2024.</v>
      </c>
      <c r="B12" s="72"/>
      <c r="D12" s="72" t="str">
        <f>CONCATENATE("Heb je niet alle jaarruimte van voorgaande jaren benut? Dan heb je reserveringsruimte. Ook deze bedragen mag je inzetten bij je lijfrenteaftrek. Daarbij geldt dat je het eerst de reseveringsruimte van ",rekenjaar-10," benut. Voor de berekening van het betreffende jaar gebruik je de financiële gegevens van het jaar ervoor. Dus voor de berekening over 2022 gebruik je de gegevens uit 2021 etc.")</f>
        <v>Heb je niet alle jaarruimte van voorgaande jaren benut? Dan heb je reserveringsruimte. Ook deze bedragen mag je inzetten bij je lijfrenteaftrek. Daarbij geldt dat je het eerst de reseveringsruimte van 2015 benut. Voor de berekening van het betreffende jaar gebruik je de financiële gegevens van het jaar ervoor. Dus voor de berekening over 2022 gebruik je de gegevens uit 2021 etc.</v>
      </c>
      <c r="E12" s="72"/>
      <c r="F12" s="72"/>
      <c r="G12" s="72"/>
      <c r="H12" s="72"/>
      <c r="I12" s="72"/>
      <c r="J12" s="72"/>
      <c r="K12" s="72"/>
      <c r="L12" s="72"/>
      <c r="M12" s="72"/>
    </row>
    <row r="13" spans="1:13" x14ac:dyDescent="0.25">
      <c r="A13" s="72"/>
      <c r="B13" s="72"/>
      <c r="D13" s="72"/>
      <c r="E13" s="72"/>
      <c r="F13" s="72"/>
      <c r="G13" s="72"/>
      <c r="H13" s="72"/>
      <c r="I13" s="72"/>
      <c r="J13" s="72"/>
      <c r="K13" s="72"/>
      <c r="L13" s="72"/>
      <c r="M13" s="72"/>
    </row>
    <row r="14" spans="1:13" x14ac:dyDescent="0.25">
      <c r="A14" s="72"/>
      <c r="B14" s="72"/>
      <c r="D14" s="72"/>
      <c r="E14" s="72"/>
      <c r="F14" s="72"/>
      <c r="G14" s="72"/>
      <c r="H14" s="72"/>
      <c r="I14" s="72"/>
      <c r="J14" s="72"/>
      <c r="K14" s="72"/>
      <c r="L14" s="72"/>
      <c r="M14" s="72"/>
    </row>
    <row r="15" spans="1:13" x14ac:dyDescent="0.25">
      <c r="A15" s="72"/>
      <c r="B15" s="72"/>
      <c r="D15" s="72"/>
      <c r="E15" s="72"/>
      <c r="F15" s="72"/>
      <c r="G15" s="72"/>
      <c r="H15" s="72"/>
      <c r="I15" s="72"/>
      <c r="J15" s="72"/>
      <c r="K15" s="72"/>
      <c r="L15" s="72"/>
      <c r="M15" s="72"/>
    </row>
    <row r="16" spans="1:13" ht="18.75" x14ac:dyDescent="0.3">
      <c r="D16" s="47">
        <f>rekenjaar-1</f>
        <v>2024</v>
      </c>
      <c r="E16" s="47">
        <f>rekenjaar-2</f>
        <v>2023</v>
      </c>
      <c r="F16" s="47">
        <f>rekenjaar-3</f>
        <v>2022</v>
      </c>
      <c r="G16" s="47">
        <f>rekenjaar-4</f>
        <v>2021</v>
      </c>
      <c r="H16" s="47">
        <f>rekenjaar-5</f>
        <v>2020</v>
      </c>
      <c r="I16" s="47">
        <f>rekenjaar-6</f>
        <v>2019</v>
      </c>
      <c r="J16" s="47">
        <f>rekenjaar-7</f>
        <v>2018</v>
      </c>
      <c r="K16" s="47">
        <f>rekenjaar-8</f>
        <v>2017</v>
      </c>
      <c r="L16" s="47">
        <f>rekenjaar-9</f>
        <v>2016</v>
      </c>
      <c r="M16" s="47">
        <f>rekenjaar-10</f>
        <v>2015</v>
      </c>
    </row>
    <row r="17" spans="1:13" s="48" customFormat="1" ht="12.75" x14ac:dyDescent="0.2">
      <c r="B17" s="49" t="str">
        <f>CONCATENATE("gegevens ",rekenjaar-1)</f>
        <v>gegevens 2024</v>
      </c>
      <c r="D17" s="49" t="str">
        <f>CONCATENATE("gegevens ",rekenjaarmin1-1)</f>
        <v>gegevens 2023</v>
      </c>
      <c r="E17" s="49" t="str">
        <f>CONCATENATE("gegevens ",rekenjaarmin2-1)</f>
        <v>gegevens 2022</v>
      </c>
      <c r="F17" s="49" t="str">
        <f>CONCATENATE("gegevens ",rekenjaarmin3-1)</f>
        <v>gegevens 2021</v>
      </c>
      <c r="G17" s="49" t="str">
        <f>CONCATENATE("gegevens ",rekenjaarmin4-1)</f>
        <v>gegevens 2020</v>
      </c>
      <c r="H17" s="49" t="str">
        <f>CONCATENATE("gegevens ",rekenjaarmin5-1)</f>
        <v>gegevens 2019</v>
      </c>
      <c r="I17" s="49" t="str">
        <f>CONCATENATE("gegevens ",rekenjaarmin6-1)</f>
        <v>gegevens 2018</v>
      </c>
      <c r="J17" s="49" t="str">
        <f>CONCATENATE("gegevens ",rekenjaarmin7-1)</f>
        <v>gegevens 2017</v>
      </c>
      <c r="K17" s="49" t="str">
        <f>CONCATENATE("gegevens ",rekenjaarmin8-1)</f>
        <v>gegevens 2016</v>
      </c>
      <c r="L17" s="49" t="str">
        <f>CONCATENATE("gegevens ",rekenjaarmin9-1)</f>
        <v>gegevens 2015</v>
      </c>
      <c r="M17" s="49" t="str">
        <f>CONCATENATE("gegevens ",rekenjaarmin10-1)</f>
        <v>gegevens 2014</v>
      </c>
    </row>
    <row r="18" spans="1:13" x14ac:dyDescent="0.25">
      <c r="A18" s="1" t="s">
        <v>60</v>
      </c>
      <c r="B18" s="56">
        <v>120000</v>
      </c>
      <c r="C18" s="2"/>
      <c r="D18" s="56">
        <v>90000</v>
      </c>
      <c r="E18" s="56">
        <v>98000</v>
      </c>
      <c r="F18" s="56">
        <v>110000</v>
      </c>
      <c r="G18" s="56">
        <v>100000</v>
      </c>
      <c r="H18" s="56">
        <v>80500</v>
      </c>
      <c r="I18" s="56">
        <v>73000</v>
      </c>
      <c r="J18" s="56">
        <v>115000</v>
      </c>
      <c r="K18" s="56">
        <v>100000</v>
      </c>
      <c r="L18" s="56">
        <v>50000</v>
      </c>
      <c r="M18" s="56">
        <v>47852</v>
      </c>
    </row>
    <row r="19" spans="1:13" x14ac:dyDescent="0.25">
      <c r="A19" s="1" t="s">
        <v>29</v>
      </c>
      <c r="B19" s="56">
        <v>101</v>
      </c>
      <c r="C19" s="2"/>
      <c r="D19" s="56">
        <v>60</v>
      </c>
      <c r="E19" s="56">
        <v>71</v>
      </c>
      <c r="F19" s="56">
        <v>82</v>
      </c>
      <c r="G19" s="56">
        <v>250</v>
      </c>
      <c r="H19" s="56">
        <v>311</v>
      </c>
      <c r="I19" s="56">
        <v>68</v>
      </c>
      <c r="J19" s="56">
        <v>10</v>
      </c>
      <c r="K19" s="56">
        <v>500</v>
      </c>
      <c r="L19" s="56">
        <v>155</v>
      </c>
      <c r="M19" s="56">
        <v>150</v>
      </c>
    </row>
    <row r="20" spans="1:13" x14ac:dyDescent="0.25">
      <c r="A20" s="1" t="str">
        <f>IF(ondernemer="nee","","Winst/verlies  vóór ondernemersaftrek")</f>
        <v>Winst/verlies  vóór ondernemersaftrek</v>
      </c>
      <c r="B20" s="56"/>
      <c r="C20" s="2"/>
      <c r="D20" s="56">
        <v>50</v>
      </c>
      <c r="E20" s="56">
        <v>0</v>
      </c>
      <c r="F20" s="56">
        <v>0</v>
      </c>
      <c r="G20" s="56">
        <v>0</v>
      </c>
      <c r="H20" s="56">
        <v>0</v>
      </c>
      <c r="I20" s="56">
        <v>0</v>
      </c>
      <c r="J20" s="56">
        <v>0</v>
      </c>
      <c r="K20" s="56">
        <v>0</v>
      </c>
      <c r="L20" s="56">
        <v>0</v>
      </c>
      <c r="M20" s="56">
        <v>0</v>
      </c>
    </row>
    <row r="21" spans="1:13" x14ac:dyDescent="0.25">
      <c r="A21" s="1" t="str">
        <f>IF(ondernemer="nee","","Toename FOR ")</f>
        <v xml:space="preserve">Toename FOR </v>
      </c>
      <c r="B21" s="56">
        <v>0</v>
      </c>
      <c r="C21" s="2"/>
      <c r="D21" s="56">
        <v>0</v>
      </c>
      <c r="E21" s="56">
        <v>0</v>
      </c>
      <c r="F21" s="56">
        <v>0</v>
      </c>
      <c r="G21" s="56">
        <v>0</v>
      </c>
      <c r="H21" s="56">
        <v>0</v>
      </c>
      <c r="I21" s="56">
        <v>0</v>
      </c>
      <c r="J21" s="56">
        <v>0</v>
      </c>
      <c r="K21" s="56">
        <v>0</v>
      </c>
      <c r="L21" s="56">
        <v>0</v>
      </c>
      <c r="M21" s="56">
        <v>0</v>
      </c>
    </row>
    <row r="22" spans="1:13" x14ac:dyDescent="0.25">
      <c r="A22" s="1" t="s">
        <v>34</v>
      </c>
      <c r="B22" s="56">
        <v>0</v>
      </c>
      <c r="C22" s="2"/>
      <c r="D22" s="56">
        <v>0</v>
      </c>
      <c r="E22" s="56">
        <v>0</v>
      </c>
      <c r="F22" s="56">
        <v>0</v>
      </c>
      <c r="G22" s="56">
        <v>0</v>
      </c>
      <c r="H22" s="56">
        <v>0</v>
      </c>
      <c r="I22" s="56">
        <v>0</v>
      </c>
      <c r="J22" s="56">
        <v>0</v>
      </c>
      <c r="K22" s="56">
        <v>0</v>
      </c>
      <c r="L22" s="56">
        <v>0</v>
      </c>
      <c r="M22" s="56">
        <v>0</v>
      </c>
    </row>
    <row r="25" spans="1:13" x14ac:dyDescent="0.25">
      <c r="B25" s="1" t="s">
        <v>13</v>
      </c>
    </row>
    <row r="26" spans="1:13" x14ac:dyDescent="0.25">
      <c r="A26" s="1" t="s">
        <v>0</v>
      </c>
      <c r="B26" s="50">
        <f>VLOOKUP(rekenjaar,Variabelen!$A:$L,2,FALSE)</f>
        <v>18475</v>
      </c>
      <c r="C26" s="2"/>
      <c r="D26" s="50">
        <f>VLOOKUP(rekenjaarmin1,Variabelen!$A:$L,2,FALSE)</f>
        <v>17545</v>
      </c>
      <c r="E26" s="50">
        <f>VLOOKUP(rekenjaarmin2,Variabelen!$A:$L,2,FALSE)</f>
        <v>13646</v>
      </c>
      <c r="F26" s="50">
        <f>VLOOKUP(rekenjaarmin3,Variabelen!$A:$L,2,FALSE)</f>
        <v>12837</v>
      </c>
      <c r="G26" s="50">
        <f>VLOOKUP(rekenjaarmin4,Variabelen!$A:$L,2,FALSE)</f>
        <v>12672</v>
      </c>
      <c r="H26" s="50">
        <f>VLOOKUP(rekenjaarmin5,Variabelen!$A:$L,2,FALSE)</f>
        <v>12472</v>
      </c>
      <c r="I26" s="50">
        <f>VLOOKUP(rekenjaarmin6,Variabelen!$A:$L,2,FALSE)</f>
        <v>12275</v>
      </c>
      <c r="J26" s="50">
        <f>VLOOKUP(rekenjaarmin7,Variabelen!$A:$L,2,FALSE)</f>
        <v>12129</v>
      </c>
      <c r="K26" s="50">
        <f>VLOOKUP(rekenjaarmin8,Variabelen!$A:$L,2,FALSE)</f>
        <v>12032</v>
      </c>
      <c r="L26" s="50">
        <f>VLOOKUP(rekenjaarmin9,Variabelen!$A:$L,2,FALSE)</f>
        <v>11996</v>
      </c>
      <c r="M26" s="50">
        <f>VLOOKUP(rekenjaarmin10,Variabelen!$A:$L,2,FALSE)</f>
        <v>11936</v>
      </c>
    </row>
    <row r="27" spans="1:13" x14ac:dyDescent="0.25">
      <c r="A27" s="1" t="s">
        <v>12</v>
      </c>
      <c r="B27" s="51">
        <f>VLOOKUP(rekenjaar,Variabelen!$A:$L,3,FALSE)</f>
        <v>0.3</v>
      </c>
      <c r="C27" s="52"/>
      <c r="D27" s="51">
        <f>VLOOKUP(rekenjaarmin1,Variabelen!$A:$L,3,FALSE)</f>
        <v>0.3</v>
      </c>
      <c r="E27" s="51">
        <f>VLOOKUP(rekenjaarmin2,Variabelen!$A:$L,3,FALSE)</f>
        <v>0.3</v>
      </c>
      <c r="F27" s="51">
        <f>VLOOKUP(rekenjaarmin3,Variabelen!$A:$L,3,FALSE)</f>
        <v>0.13300000000000001</v>
      </c>
      <c r="G27" s="51">
        <f>VLOOKUP(rekenjaarmin4,Variabelen!$A:$L,3,FALSE)</f>
        <v>0.13300000000000001</v>
      </c>
      <c r="H27" s="51">
        <f>VLOOKUP(rekenjaarmin5,Variabelen!$A:$L,3,FALSE)</f>
        <v>0.13300000000000001</v>
      </c>
      <c r="I27" s="51">
        <f>VLOOKUP(rekenjaarmin6,Variabelen!$A:$L,3,FALSE)</f>
        <v>0.13300000000000001</v>
      </c>
      <c r="J27" s="51">
        <f>VLOOKUP(rekenjaarmin7,Variabelen!$A:$L,3,FALSE)</f>
        <v>0.13300000000000001</v>
      </c>
      <c r="K27" s="51">
        <f>VLOOKUP(rekenjaarmin8,Variabelen!$A:$L,3,FALSE)</f>
        <v>0.13800000000000001</v>
      </c>
      <c r="L27" s="51">
        <f>VLOOKUP(rekenjaarmin9,Variabelen!$A:$L,3,FALSE)</f>
        <v>0.13800000000000001</v>
      </c>
      <c r="M27" s="51">
        <f>VLOOKUP(rekenjaarmin10,Variabelen!$A:$L,3,FALSE)</f>
        <v>0.13800000000000001</v>
      </c>
    </row>
    <row r="28" spans="1:13" x14ac:dyDescent="0.25">
      <c r="A28" s="1" t="s">
        <v>11</v>
      </c>
      <c r="B28" s="50">
        <f>VLOOKUP(rekenjaar,Variabelen!$A:$L,6,FALSE)</f>
        <v>119325</v>
      </c>
      <c r="D28" s="50">
        <f>VLOOKUP(rekenjaarmin1,Variabelen!$A:$L,6,FALSE)</f>
        <v>120255</v>
      </c>
      <c r="E28" s="50">
        <f>VLOOKUP(rekenjaarmin2,Variabelen!$A:$L,6,FALSE)</f>
        <v>115164</v>
      </c>
      <c r="F28" s="50">
        <f>VLOOKUP(rekenjaarmin3,Variabelen!$A:$L,6,FALSE)</f>
        <v>102029</v>
      </c>
      <c r="G28" s="50">
        <f>VLOOKUP(rekenjaarmin4,Variabelen!$A:$L,6,FALSE)</f>
        <v>99517</v>
      </c>
      <c r="H28" s="50">
        <f>VLOOKUP(rekenjaarmin5,Variabelen!$A:$L,6,FALSE)</f>
        <v>97639</v>
      </c>
      <c r="I28" s="50">
        <f>VLOOKUP(rekenjaarmin6,Variabelen!$A:$L,6,FALSE)</f>
        <v>95318</v>
      </c>
      <c r="J28" s="50">
        <f>VLOOKUP(rekenjaarmin7,Variabelen!$A:$L,6,FALSE)</f>
        <v>92946</v>
      </c>
      <c r="K28" s="50">
        <f>VLOOKUP(rekenjaarmin8,Variabelen!$A:$L,6,FALSE)</f>
        <v>91285</v>
      </c>
      <c r="L28" s="50">
        <f>VLOOKUP(rekenjaarmin9,Variabelen!$A:$L,6,FALSE)</f>
        <v>89523</v>
      </c>
      <c r="M28" s="50">
        <f>VLOOKUP(rekenjaarmin10,Variabelen!$A:$L,6,FALSE)</f>
        <v>88064</v>
      </c>
    </row>
    <row r="29" spans="1:13" x14ac:dyDescent="0.25">
      <c r="A29" s="1" t="s">
        <v>14</v>
      </c>
      <c r="B29" s="50">
        <f>MAX(0,MIN(B28,IF(loondienst="ja",B18,0)+IF(ondernemer="ja",B20+B22,0)-B26))</f>
        <v>101525</v>
      </c>
      <c r="D29" s="50">
        <f t="shared" ref="D29:M29" si="0">MAX(0,MIN(D28,IF(loondienst="ja",D18,0)+IF(ondernemer="ja",D20+D22,0)-D26))</f>
        <v>72505</v>
      </c>
      <c r="E29" s="50">
        <f t="shared" si="0"/>
        <v>84354</v>
      </c>
      <c r="F29" s="50">
        <f t="shared" si="0"/>
        <v>97163</v>
      </c>
      <c r="G29" s="50">
        <f t="shared" si="0"/>
        <v>87328</v>
      </c>
      <c r="H29" s="50">
        <f t="shared" si="0"/>
        <v>68028</v>
      </c>
      <c r="I29" s="50">
        <f t="shared" si="0"/>
        <v>60725</v>
      </c>
      <c r="J29" s="50">
        <f t="shared" si="0"/>
        <v>92946</v>
      </c>
      <c r="K29" s="50">
        <f t="shared" si="0"/>
        <v>87968</v>
      </c>
      <c r="L29" s="50">
        <f t="shared" si="0"/>
        <v>38004</v>
      </c>
      <c r="M29" s="50">
        <f t="shared" si="0"/>
        <v>35916</v>
      </c>
    </row>
    <row r="30" spans="1:13" x14ac:dyDescent="0.25">
      <c r="A30" s="1" t="s">
        <v>5</v>
      </c>
      <c r="B30" s="53">
        <f>VLOOKUP(rekenjaar,Variabelen!$A:$L,4,FALSE)</f>
        <v>6.27</v>
      </c>
      <c r="D30" s="53">
        <f>VLOOKUP(rekenjaarmin1,Variabelen!$A:$L,4,FALSE)</f>
        <v>6.27</v>
      </c>
      <c r="E30" s="53">
        <f>VLOOKUP(rekenjaarmin2,Variabelen!$A:$L,4,FALSE)</f>
        <v>6.27</v>
      </c>
      <c r="F30" s="53">
        <f>VLOOKUP(rekenjaarmin3,Variabelen!$A:$L,4,FALSE)</f>
        <v>6.27</v>
      </c>
      <c r="G30" s="53">
        <f>VLOOKUP(rekenjaarmin4,Variabelen!$A:$L,4,FALSE)</f>
        <v>6.27</v>
      </c>
      <c r="H30" s="53">
        <f>VLOOKUP(rekenjaarmin5,Variabelen!$A:$L,4,FALSE)</f>
        <v>6.27</v>
      </c>
      <c r="I30" s="53">
        <f>VLOOKUP(rekenjaarmin6,Variabelen!$A:$L,4,FALSE)</f>
        <v>6.27</v>
      </c>
      <c r="J30" s="53">
        <f>VLOOKUP(rekenjaarmin7,Variabelen!$A:$L,4,FALSE)</f>
        <v>6.27</v>
      </c>
      <c r="K30" s="53">
        <f>VLOOKUP(rekenjaarmin8,Variabelen!$A:$L,4,FALSE)</f>
        <v>6.5</v>
      </c>
      <c r="L30" s="53">
        <f>VLOOKUP(rekenjaarmin9,Variabelen!$A:$L,4,FALSE)</f>
        <v>6.5</v>
      </c>
      <c r="M30" s="53">
        <f>VLOOKUP(rekenjaarmin10,Variabelen!$A:$L,4,FALSE)</f>
        <v>6.5</v>
      </c>
    </row>
    <row r="31" spans="1:13" x14ac:dyDescent="0.25">
      <c r="A31" s="1" t="s">
        <v>17</v>
      </c>
      <c r="B31" s="50">
        <f>VLOOKUP(rekenjaar,Variabelen!$A:$L,8,FALSE)</f>
        <v>42108</v>
      </c>
    </row>
    <row r="32" spans="1:13" x14ac:dyDescent="0.25">
      <c r="A32" s="1"/>
    </row>
    <row r="33" spans="1:13" x14ac:dyDescent="0.25">
      <c r="A33" s="1" t="s">
        <v>2</v>
      </c>
      <c r="B33" s="50">
        <f>IF(AOW_5="ja",0,IF(SUM(B18+B20)=0,0,MAX(0,B29*B27-IF(loondienst="ja",B19,0)*B30-B21)))</f>
        <v>29824.23</v>
      </c>
      <c r="C33" s="2"/>
      <c r="D33" s="50">
        <f t="shared" ref="D33:M33" si="1">IF(AOW_5="ja",0,IF(SUM(D18+D20)=0,0,MAX(0,D29*D27-IF(loondienst="ja",D19,0)*D30-D21)))</f>
        <v>21375.3</v>
      </c>
      <c r="E33" s="50">
        <f t="shared" si="1"/>
        <v>24861.030000000002</v>
      </c>
      <c r="F33" s="50">
        <f t="shared" si="1"/>
        <v>12408.539000000001</v>
      </c>
      <c r="G33" s="50">
        <f t="shared" si="1"/>
        <v>10047.124</v>
      </c>
      <c r="H33" s="50">
        <f t="shared" si="1"/>
        <v>7097.7540000000008</v>
      </c>
      <c r="I33" s="50">
        <f t="shared" si="1"/>
        <v>7650.0650000000005</v>
      </c>
      <c r="J33" s="50">
        <f t="shared" si="1"/>
        <v>12299.118</v>
      </c>
      <c r="K33" s="50">
        <f t="shared" si="1"/>
        <v>8889.5840000000007</v>
      </c>
      <c r="L33" s="50">
        <f t="shared" si="1"/>
        <v>4237.0520000000006</v>
      </c>
      <c r="M33" s="50">
        <f t="shared" si="1"/>
        <v>3981.4080000000004</v>
      </c>
    </row>
    <row r="34" spans="1:13" x14ac:dyDescent="0.25">
      <c r="A34" s="1" t="s">
        <v>15</v>
      </c>
      <c r="B34" s="56">
        <v>0</v>
      </c>
      <c r="C34" s="2"/>
      <c r="D34" s="56">
        <v>0</v>
      </c>
      <c r="E34" s="56">
        <v>0</v>
      </c>
      <c r="F34" s="56">
        <v>0</v>
      </c>
      <c r="G34" s="56">
        <v>0</v>
      </c>
      <c r="H34" s="56">
        <v>0</v>
      </c>
      <c r="I34" s="56">
        <v>0</v>
      </c>
      <c r="J34" s="56">
        <v>0</v>
      </c>
      <c r="K34" s="56">
        <v>0</v>
      </c>
      <c r="L34" s="56">
        <v>0</v>
      </c>
      <c r="M34" s="56">
        <v>0</v>
      </c>
    </row>
    <row r="35" spans="1:13" x14ac:dyDescent="0.25">
      <c r="A35" s="1" t="s">
        <v>16</v>
      </c>
      <c r="B35" s="50">
        <f>IF(AOW_5="ja",0,B33-B34)</f>
        <v>29824.23</v>
      </c>
      <c r="C35" s="2"/>
      <c r="D35" s="50">
        <f t="shared" ref="D35" si="2">IF(AOW_5="ja",0,D33-D34)</f>
        <v>21375.3</v>
      </c>
      <c r="E35" s="50">
        <f t="shared" ref="E35:M35" si="3">IF(AOW_5="ja",0,IF(YEAR($H$7)&lt;2023,0,E33-E34))</f>
        <v>0</v>
      </c>
      <c r="F35" s="50">
        <f t="shared" si="3"/>
        <v>0</v>
      </c>
      <c r="G35" s="50">
        <f t="shared" si="3"/>
        <v>0</v>
      </c>
      <c r="H35" s="50">
        <f t="shared" si="3"/>
        <v>0</v>
      </c>
      <c r="I35" s="50">
        <f t="shared" si="3"/>
        <v>0</v>
      </c>
      <c r="J35" s="50">
        <f t="shared" si="3"/>
        <v>0</v>
      </c>
      <c r="K35" s="50">
        <f t="shared" si="3"/>
        <v>0</v>
      </c>
      <c r="L35" s="50">
        <f t="shared" si="3"/>
        <v>0</v>
      </c>
      <c r="M35" s="50">
        <f t="shared" si="3"/>
        <v>0</v>
      </c>
    </row>
    <row r="36" spans="1:13" x14ac:dyDescent="0.25">
      <c r="A36" s="1" t="s">
        <v>22</v>
      </c>
      <c r="B36" s="50">
        <f>MIN(VLOOKUP(rekenjaar,Variabelen!A:H,7,FALSE),SUM(Rekenblad!$D$35:$M$35))</f>
        <v>21375.3</v>
      </c>
    </row>
    <row r="37" spans="1:13" x14ac:dyDescent="0.25">
      <c r="A37" s="1" t="str">
        <f>CONCATENATE("Maximale lijfrente in ",rekenjaar)</f>
        <v>Maximale lijfrente in 2025</v>
      </c>
      <c r="B37" s="50">
        <f>B36+B35</f>
        <v>51199.53</v>
      </c>
      <c r="D37" s="36"/>
      <c r="E37" s="36"/>
      <c r="F37" s="36"/>
      <c r="G37" s="36"/>
      <c r="H37" s="36"/>
      <c r="I37" s="36"/>
      <c r="J37" s="36"/>
      <c r="K37" s="36"/>
      <c r="L37" s="36"/>
      <c r="M37" s="36"/>
    </row>
    <row r="38" spans="1:13" x14ac:dyDescent="0.25">
      <c r="D38" s="36"/>
      <c r="E38" s="36"/>
      <c r="F38" s="36"/>
      <c r="G38" s="36"/>
      <c r="H38" s="36"/>
      <c r="I38" s="36"/>
      <c r="J38" s="36"/>
      <c r="K38" s="36"/>
      <c r="L38" s="36"/>
      <c r="M38" s="36"/>
    </row>
    <row r="39" spans="1:13" x14ac:dyDescent="0.25">
      <c r="A39" s="73" t="s">
        <v>32</v>
      </c>
      <c r="B39" s="73"/>
      <c r="C39" s="73"/>
      <c r="D39" s="73"/>
      <c r="E39" s="73"/>
      <c r="F39" s="73"/>
      <c r="G39" s="73"/>
      <c r="H39" s="73"/>
      <c r="I39" s="73"/>
      <c r="J39" s="73"/>
      <c r="K39" s="73"/>
      <c r="L39" s="73"/>
      <c r="M39" s="73"/>
    </row>
    <row r="40" spans="1:13" x14ac:dyDescent="0.25">
      <c r="A40" s="73"/>
      <c r="B40" s="73"/>
      <c r="C40" s="73"/>
      <c r="D40" s="73"/>
      <c r="E40" s="73"/>
      <c r="F40" s="73"/>
      <c r="G40" s="73"/>
      <c r="H40" s="73"/>
      <c r="I40" s="73"/>
      <c r="J40" s="73"/>
      <c r="K40" s="73"/>
      <c r="L40" s="73"/>
      <c r="M40" s="73"/>
    </row>
    <row r="41" spans="1:13" x14ac:dyDescent="0.25">
      <c r="B41" s="56">
        <v>0</v>
      </c>
      <c r="D41" s="56">
        <v>0</v>
      </c>
      <c r="E41" s="56">
        <v>0</v>
      </c>
      <c r="F41" s="56">
        <v>0</v>
      </c>
      <c r="G41" s="56">
        <v>0</v>
      </c>
      <c r="H41" s="56">
        <v>0</v>
      </c>
      <c r="I41" s="56">
        <v>0</v>
      </c>
      <c r="J41" s="56">
        <v>0</v>
      </c>
      <c r="K41" s="56">
        <v>0</v>
      </c>
      <c r="L41" s="56">
        <v>0</v>
      </c>
      <c r="M41" s="56">
        <v>0</v>
      </c>
    </row>
    <row r="44" spans="1:13" x14ac:dyDescent="0.25">
      <c r="A44" s="60" t="s">
        <v>55</v>
      </c>
    </row>
    <row r="45" spans="1:13" x14ac:dyDescent="0.25">
      <c r="A45" s="80" t="str">
        <f ca="1">CONCATENATE("NNEK behoudt zich het recht voor op elk moment de inhoud van deze ",de_naam," aan te passen of onderdelen te verwijderen zonder daarover aan u mededeling te hoeven doen.")</f>
        <v>NNEK behoudt zich het recht voor op elk moment de inhoud van deze NNEK Jaarruimte 2025.1 aan te passen of onderdelen te verwijderen zonder daarover aan u mededeling te hoeven doen.</v>
      </c>
      <c r="B45" s="77"/>
      <c r="C45" s="77"/>
      <c r="D45" s="77"/>
      <c r="E45" s="77"/>
      <c r="F45" s="77"/>
      <c r="G45" s="77"/>
      <c r="H45" s="77"/>
      <c r="I45" s="77"/>
      <c r="J45" s="77"/>
      <c r="K45" s="77"/>
      <c r="L45" s="77"/>
      <c r="M45" s="77"/>
    </row>
    <row r="46" spans="1:13" x14ac:dyDescent="0.25">
      <c r="A46" s="59"/>
    </row>
    <row r="47" spans="1:13" x14ac:dyDescent="0.25">
      <c r="A47" s="78" t="str">
        <f ca="1">CONCATENATE("NNEK spant zich in om deze ",de_naam," zo actueel en correct mogelijk te houden. Ondanks deze zorg en aandacht is het mogelijk dat inhoud, berekeningen of uitkomsten van deze ",de_naam," onvolledig en/of onjuist zijn.")</f>
        <v>NNEK spant zich in om deze NNEK Jaarruimte 2025.1 zo actueel en correct mogelijk te houden. Ondanks deze zorg en aandacht is het mogelijk dat inhoud, berekeningen of uitkomsten van deze NNEK Jaarruimte 2025.1 onvolledig en/of onjuist zijn.</v>
      </c>
      <c r="B47" s="79"/>
      <c r="C47" s="79"/>
      <c r="D47" s="79"/>
      <c r="E47" s="79"/>
      <c r="F47" s="79"/>
      <c r="G47" s="79"/>
      <c r="H47" s="79"/>
      <c r="I47" s="79"/>
      <c r="J47" s="79"/>
      <c r="K47" s="79"/>
      <c r="L47" s="79"/>
      <c r="M47" s="79"/>
    </row>
    <row r="48" spans="1:13" x14ac:dyDescent="0.25">
      <c r="A48" s="79"/>
      <c r="B48" s="79"/>
      <c r="C48" s="79"/>
      <c r="D48" s="79"/>
      <c r="E48" s="79"/>
      <c r="F48" s="79"/>
      <c r="G48" s="79"/>
      <c r="H48" s="79"/>
      <c r="I48" s="79"/>
      <c r="J48" s="79"/>
      <c r="K48" s="79"/>
      <c r="L48" s="79"/>
      <c r="M48" s="79"/>
    </row>
    <row r="49" spans="1:13" x14ac:dyDescent="0.25">
      <c r="A49" s="59"/>
    </row>
    <row r="50" spans="1:13" x14ac:dyDescent="0.25">
      <c r="A50" s="78" t="str">
        <f ca="1">CONCATENATE("Deze ",de_naam," is bedoeld om inzicht te geven in jaarruimte en reserveringsruimte. Aan het gebruik van deze ",de_naam," kunnen geen rechten worden ontleend. NNEK kan niet aansprakelijk gesteld worden voor schade als gevolg van het gebruik van deze ",de_naam,", de berekeningen en de uitkomsten daarvan. U blijft altijd zelf verantwoordelijk voor de juistheid van de bedragen die u op uw Lijfrenterekening inlegt en aan de Belastingdienst opgeeft.")</f>
        <v>Deze NNEK Jaarruimte 2025.1 is bedoeld om inzicht te geven in jaarruimte en reserveringsruimte. Aan het gebruik van deze NNEK Jaarruimte 2025.1 kunnen geen rechten worden ontleend. NNEK kan niet aansprakelijk gesteld worden voor schade als gevolg van het gebruik van deze NNEK Jaarruimte 2025.1, de berekeningen en de uitkomsten daarvan. U blijft altijd zelf verantwoordelijk voor de juistheid van de bedragen die u op uw Lijfrenterekening inlegt en aan de Belastingdienst opgeeft.</v>
      </c>
      <c r="B50" s="79"/>
      <c r="C50" s="79"/>
      <c r="D50" s="79"/>
      <c r="E50" s="79"/>
      <c r="F50" s="79"/>
      <c r="G50" s="79"/>
      <c r="H50" s="79"/>
      <c r="I50" s="79"/>
      <c r="J50" s="79"/>
      <c r="K50" s="79"/>
      <c r="L50" s="79"/>
      <c r="M50" s="79"/>
    </row>
    <row r="51" spans="1:13" x14ac:dyDescent="0.25">
      <c r="A51" s="79"/>
      <c r="B51" s="79"/>
      <c r="C51" s="79"/>
      <c r="D51" s="79"/>
      <c r="E51" s="79"/>
      <c r="F51" s="79"/>
      <c r="G51" s="79"/>
      <c r="H51" s="79"/>
      <c r="I51" s="79"/>
      <c r="J51" s="79"/>
      <c r="K51" s="79"/>
      <c r="L51" s="79"/>
      <c r="M51" s="79"/>
    </row>
    <row r="53" spans="1:13" x14ac:dyDescent="0.25">
      <c r="A53" s="77" t="str">
        <f ca="1">CONCATENATE("NNEK geeft geen fiscaal advies en de berekeningen en uitkomsten van deze ",de_naam," kunnen dan ook niet als fiscaal advies beschouwd worden. Vraag altijd fiscaal en financieel advies aan uw financieel adviseur.")</f>
        <v>NNEK geeft geen fiscaal advies en de berekeningen en uitkomsten van deze NNEK Jaarruimte 2025.1 kunnen dan ook niet als fiscaal advies beschouwd worden. Vraag altijd fiscaal en financieel advies aan uw financieel adviseur.</v>
      </c>
      <c r="B53" s="77"/>
      <c r="C53" s="77"/>
      <c r="D53" s="77"/>
      <c r="E53" s="77"/>
      <c r="F53" s="77"/>
      <c r="G53" s="77"/>
      <c r="H53" s="77"/>
      <c r="I53" s="77"/>
      <c r="J53" s="77"/>
      <c r="K53" s="77"/>
      <c r="L53" s="77"/>
      <c r="M53" s="77"/>
    </row>
    <row r="55" spans="1:13" x14ac:dyDescent="0.25">
      <c r="A55" s="77" t="s">
        <v>56</v>
      </c>
      <c r="B55" s="77"/>
      <c r="C55" s="77"/>
      <c r="D55" s="77"/>
      <c r="E55" s="77"/>
      <c r="F55" s="77"/>
      <c r="G55" s="77"/>
      <c r="H55" s="77"/>
      <c r="I55" s="77"/>
      <c r="J55" s="77"/>
      <c r="K55" s="77"/>
      <c r="L55" s="77"/>
      <c r="M55" s="77"/>
    </row>
  </sheetData>
  <sheetProtection algorithmName="SHA-512" hashValue="T7TFFphl8DFY2AmMOdvzSn7l3Zgi9oow5bluCVpbF/i7Xq58bg3JO9qf561kjM2gsABr3MV7GQMxHrGniByDvA==" saltValue="25Czgw8kXO8DfWzK+d4KMg==" spinCount="100000" sheet="1" selectLockedCells="1"/>
  <mergeCells count="10">
    <mergeCell ref="A55:M55"/>
    <mergeCell ref="A47:M48"/>
    <mergeCell ref="A45:M45"/>
    <mergeCell ref="A50:M51"/>
    <mergeCell ref="A53:M53"/>
    <mergeCell ref="A12:B15"/>
    <mergeCell ref="D12:M15"/>
    <mergeCell ref="A39:M40"/>
    <mergeCell ref="A10:M10"/>
    <mergeCell ref="L1:M1"/>
  </mergeCells>
  <conditionalFormatting sqref="B18">
    <cfRule type="expression" dxfId="7" priority="13">
      <formula>$B$8="nee"</formula>
    </cfRule>
  </conditionalFormatting>
  <conditionalFormatting sqref="B19">
    <cfRule type="expression" dxfId="6" priority="11">
      <formula>$B$8="nee"</formula>
    </cfRule>
  </conditionalFormatting>
  <conditionalFormatting sqref="B20">
    <cfRule type="expression" dxfId="5" priority="14">
      <formula>$B$9="nee"</formula>
    </cfRule>
  </conditionalFormatting>
  <conditionalFormatting sqref="B21">
    <cfRule type="expression" dxfId="4" priority="1">
      <formula>$B$9="nee"</formula>
    </cfRule>
  </conditionalFormatting>
  <conditionalFormatting sqref="D18:M18">
    <cfRule type="expression" dxfId="3" priority="9">
      <formula>$B$8="nee"</formula>
    </cfRule>
  </conditionalFormatting>
  <conditionalFormatting sqref="D19:M19">
    <cfRule type="expression" dxfId="2" priority="7">
      <formula>$B$8="nee"</formula>
    </cfRule>
  </conditionalFormatting>
  <conditionalFormatting sqref="D20:M20">
    <cfRule type="expression" dxfId="1" priority="20">
      <formula>$B$9="nee"</formula>
    </cfRule>
  </conditionalFormatting>
  <conditionalFormatting sqref="D21:M21">
    <cfRule type="expression" dxfId="0" priority="3">
      <formula>$B$9="nee"</formula>
    </cfRule>
  </conditionalFormatting>
  <dataValidations xWindow="466" yWindow="626" count="6">
    <dataValidation allowBlank="1" showInputMessage="1" showErrorMessage="1" promptTitle="Winst of verlies" prompt="Is er sprake van verlies? Zet dan een min-teken voor het bedrag." sqref="B20 D20:M20" xr:uid="{F087E46F-BE36-4BF9-8288-45EA072236BA}"/>
    <dataValidation allowBlank="1" showInputMessage="1" showErrorMessage="1" promptTitle="Toe-/afname FOR" prompt="Is de FOR per saldo afgenomen? Zet dan een min-teken voor het bedrag." sqref="D21:M21" xr:uid="{0B5E1624-8E5E-4E88-A0C5-D5DD56F20F37}"/>
    <dataValidation type="list" allowBlank="1" showInputMessage="1" showErrorMessage="1" sqref="B8:B9" xr:uid="{FAB37879-4D87-462D-9F3D-E3076BECBB2A}">
      <formula1>"ja,nee"</formula1>
    </dataValidation>
    <dataValidation allowBlank="1" showInputMessage="1" showErrorMessage="1" promptTitle="Inkomen" prompt="Vul hier het belastbaar loon plus eventuele bijtelling auto van de zaak" sqref="B18 D18:M18" xr:uid="{0A8C80A2-29E7-41DA-A36E-4FEFD1714BCE}"/>
    <dataValidation allowBlank="1" showInputMessage="1" showErrorMessage="1" promptTitle="Factor A" prompt="De Factor A vind je op het jaarlijkse pensioenoverzicht" sqref="B19 D19:M19" xr:uid="{38ECCA6A-2FFD-4D3B-86F5-4E99E6AD5EFC}"/>
    <dataValidation type="whole" allowBlank="1" showInputMessage="1" showErrorMessage="1" errorTitle="Toe-/afname FOR" error="Toename van FOR is sinds 1-1-2023 niet meer toegestaan" promptTitle="Toe-/afname FOR" prompt="Toename van FOR is sinds 1-1-2023 niet meer toegestaan" sqref="B21" xr:uid="{465C112F-655D-445C-9F10-DE1FA9726161}">
      <formula1>-1000000</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8D698-102F-4FDB-BE69-2BA0AAFF974D}">
  <dimension ref="A1:L14"/>
  <sheetViews>
    <sheetView workbookViewId="0">
      <selection activeCell="B28" sqref="B28"/>
    </sheetView>
  </sheetViews>
  <sheetFormatPr defaultRowHeight="15" x14ac:dyDescent="0.25"/>
  <cols>
    <col min="1" max="1" width="31.85546875" bestFit="1" customWidth="1"/>
    <col min="2" max="2" width="9.85546875" bestFit="1" customWidth="1"/>
    <col min="5" max="6" width="9.85546875" bestFit="1" customWidth="1"/>
    <col min="9" max="10" width="9.85546875" bestFit="1" customWidth="1"/>
  </cols>
  <sheetData>
    <row r="1" spans="1:12" x14ac:dyDescent="0.25">
      <c r="A1" s="81" t="s">
        <v>33</v>
      </c>
      <c r="B1" s="81"/>
      <c r="C1" s="81"/>
      <c r="D1" s="81"/>
      <c r="E1" s="81"/>
      <c r="F1" s="81"/>
      <c r="G1" s="81"/>
      <c r="H1" s="81"/>
      <c r="I1" s="81"/>
      <c r="J1" s="81"/>
      <c r="K1" s="81"/>
      <c r="L1" s="81"/>
    </row>
    <row r="2" spans="1:12" x14ac:dyDescent="0.25">
      <c r="A2" s="81"/>
      <c r="B2" s="81"/>
      <c r="C2" s="81"/>
      <c r="D2" s="81"/>
      <c r="E2" s="81"/>
      <c r="F2" s="81"/>
      <c r="G2" s="81"/>
      <c r="H2" s="81"/>
      <c r="I2" s="81"/>
      <c r="J2" s="81"/>
      <c r="K2" s="81"/>
      <c r="L2" s="81"/>
    </row>
    <row r="3" spans="1:12" x14ac:dyDescent="0.25">
      <c r="A3" s="81"/>
      <c r="B3" s="81"/>
      <c r="C3" s="81"/>
      <c r="D3" s="81"/>
      <c r="E3" s="81"/>
      <c r="F3" s="81"/>
      <c r="G3" s="81"/>
      <c r="H3" s="81"/>
      <c r="I3" s="81"/>
      <c r="J3" s="81"/>
      <c r="K3" s="81"/>
      <c r="L3" s="81"/>
    </row>
    <row r="4" spans="1:12" x14ac:dyDescent="0.25">
      <c r="B4" s="1">
        <f>rekenjaar</f>
        <v>2025</v>
      </c>
      <c r="C4" s="1">
        <f>Rekenblad!D16</f>
        <v>2024</v>
      </c>
      <c r="D4" s="1">
        <f>Rekenblad!E16</f>
        <v>2023</v>
      </c>
      <c r="E4" s="1">
        <f>Rekenblad!F16</f>
        <v>2022</v>
      </c>
      <c r="F4" s="1">
        <f>Rekenblad!G16</f>
        <v>2021</v>
      </c>
      <c r="G4" s="1">
        <f>Rekenblad!H16</f>
        <v>2020</v>
      </c>
      <c r="H4" s="1">
        <f>Rekenblad!I16</f>
        <v>2019</v>
      </c>
      <c r="I4" s="1">
        <f>Rekenblad!J16</f>
        <v>2018</v>
      </c>
      <c r="J4" s="1">
        <f>Rekenblad!K16</f>
        <v>2017</v>
      </c>
      <c r="K4" s="1">
        <f>Rekenblad!L16</f>
        <v>2016</v>
      </c>
      <c r="L4" s="1">
        <f>Rekenblad!M16</f>
        <v>2015</v>
      </c>
    </row>
    <row r="5" spans="1:12" x14ac:dyDescent="0.25">
      <c r="A5" t="s">
        <v>60</v>
      </c>
      <c r="B5" s="2">
        <f>Rekenblad!B18</f>
        <v>120000</v>
      </c>
      <c r="C5" s="2">
        <f>Rekenblad!D18</f>
        <v>90000</v>
      </c>
      <c r="D5" s="2">
        <f>Rekenblad!E18</f>
        <v>98000</v>
      </c>
      <c r="E5" s="2">
        <f>Rekenblad!F18</f>
        <v>110000</v>
      </c>
      <c r="F5" s="2">
        <f>Rekenblad!G18</f>
        <v>100000</v>
      </c>
      <c r="G5" s="2">
        <f>Rekenblad!H18</f>
        <v>80500</v>
      </c>
      <c r="H5" s="2">
        <f>Rekenblad!I18</f>
        <v>73000</v>
      </c>
      <c r="I5" s="2">
        <f>Rekenblad!J18</f>
        <v>115000</v>
      </c>
      <c r="J5" s="2">
        <f>Rekenblad!K18</f>
        <v>100000</v>
      </c>
      <c r="K5" s="2">
        <f>Rekenblad!L18</f>
        <v>50000</v>
      </c>
      <c r="L5" s="2">
        <f>Rekenblad!M18</f>
        <v>47852</v>
      </c>
    </row>
    <row r="6" spans="1:12" x14ac:dyDescent="0.25">
      <c r="A6" t="s">
        <v>29</v>
      </c>
      <c r="B6" s="2">
        <f>Rekenblad!B19</f>
        <v>101</v>
      </c>
      <c r="C6" s="2">
        <f>Rekenblad!D19</f>
        <v>60</v>
      </c>
      <c r="D6" s="2">
        <f>Rekenblad!E19</f>
        <v>71</v>
      </c>
      <c r="E6" s="2">
        <f>Rekenblad!F19</f>
        <v>82</v>
      </c>
      <c r="F6" s="2">
        <f>Rekenblad!G19</f>
        <v>250</v>
      </c>
      <c r="G6" s="2">
        <f>Rekenblad!H19</f>
        <v>311</v>
      </c>
      <c r="H6" s="2">
        <f>Rekenblad!I19</f>
        <v>68</v>
      </c>
      <c r="I6" s="2">
        <f>Rekenblad!J19</f>
        <v>10</v>
      </c>
      <c r="J6" s="2">
        <f>Rekenblad!K19</f>
        <v>500</v>
      </c>
      <c r="K6" s="2">
        <f>Rekenblad!L19</f>
        <v>155</v>
      </c>
      <c r="L6" s="2">
        <f>Rekenblad!M19</f>
        <v>150</v>
      </c>
    </row>
    <row r="7" spans="1:12" x14ac:dyDescent="0.25">
      <c r="A7" t="s">
        <v>30</v>
      </c>
      <c r="B7" s="2">
        <f>Rekenblad!B20</f>
        <v>0</v>
      </c>
      <c r="C7" s="2">
        <f>Rekenblad!D20</f>
        <v>50</v>
      </c>
      <c r="D7" s="2">
        <f>Rekenblad!E20</f>
        <v>0</v>
      </c>
      <c r="E7" s="2">
        <f>Rekenblad!F20</f>
        <v>0</v>
      </c>
      <c r="F7" s="2">
        <f>Rekenblad!G20</f>
        <v>0</v>
      </c>
      <c r="G7" s="2">
        <f>Rekenblad!H20</f>
        <v>0</v>
      </c>
      <c r="H7" s="2">
        <f>Rekenblad!I20</f>
        <v>0</v>
      </c>
      <c r="I7" s="2">
        <f>Rekenblad!J20</f>
        <v>0</v>
      </c>
      <c r="J7" s="2">
        <f>Rekenblad!K20</f>
        <v>0</v>
      </c>
      <c r="K7" s="2">
        <f>Rekenblad!L20</f>
        <v>0</v>
      </c>
      <c r="L7" s="2">
        <f>Rekenblad!M20</f>
        <v>0</v>
      </c>
    </row>
    <row r="8" spans="1:12" x14ac:dyDescent="0.25">
      <c r="A8" t="s">
        <v>36</v>
      </c>
      <c r="B8" s="2">
        <f>Rekenblad!B21</f>
        <v>0</v>
      </c>
      <c r="C8" s="2">
        <f>Rekenblad!D21</f>
        <v>0</v>
      </c>
      <c r="D8" s="2">
        <f>Rekenblad!E21</f>
        <v>0</v>
      </c>
      <c r="E8" s="2">
        <f>Rekenblad!F21</f>
        <v>0</v>
      </c>
      <c r="F8" s="2">
        <f>Rekenblad!G21</f>
        <v>0</v>
      </c>
      <c r="G8" s="2">
        <f>Rekenblad!H21</f>
        <v>0</v>
      </c>
      <c r="H8" s="2">
        <f>Rekenblad!I21</f>
        <v>0</v>
      </c>
      <c r="I8" s="2">
        <f>Rekenblad!J21</f>
        <v>0</v>
      </c>
      <c r="J8" s="2">
        <f>Rekenblad!K21</f>
        <v>0</v>
      </c>
      <c r="K8" s="2">
        <f>Rekenblad!L21</f>
        <v>0</v>
      </c>
      <c r="L8" s="2">
        <f>Rekenblad!M21</f>
        <v>0</v>
      </c>
    </row>
    <row r="9" spans="1:12" x14ac:dyDescent="0.25">
      <c r="B9" s="2"/>
      <c r="C9" s="2"/>
      <c r="D9" s="2"/>
      <c r="E9" s="2"/>
      <c r="F9" s="2"/>
      <c r="G9" s="2"/>
      <c r="H9" s="2"/>
      <c r="I9" s="2"/>
      <c r="J9" s="2"/>
      <c r="K9" s="2"/>
      <c r="L9" s="2"/>
    </row>
    <row r="10" spans="1:12" x14ac:dyDescent="0.25">
      <c r="B10" s="2"/>
      <c r="C10" s="2"/>
      <c r="D10" s="2"/>
      <c r="E10" s="2"/>
      <c r="F10" s="2"/>
      <c r="G10" s="2"/>
      <c r="H10" s="2"/>
      <c r="I10" s="2"/>
      <c r="J10" s="2"/>
      <c r="K10" s="2"/>
      <c r="L10" s="2"/>
    </row>
    <row r="11" spans="1:12" x14ac:dyDescent="0.25">
      <c r="A11" t="s">
        <v>31</v>
      </c>
      <c r="B11" s="2">
        <f>Rekenblad!B41</f>
        <v>0</v>
      </c>
      <c r="C11" s="2">
        <f>Rekenblad!D41</f>
        <v>0</v>
      </c>
      <c r="D11" s="2">
        <f>Rekenblad!E41</f>
        <v>0</v>
      </c>
      <c r="E11" s="2">
        <f>Rekenblad!F41</f>
        <v>0</v>
      </c>
      <c r="F11" s="2">
        <f>Rekenblad!G41</f>
        <v>0</v>
      </c>
      <c r="G11" s="2">
        <f>Rekenblad!H41</f>
        <v>0</v>
      </c>
      <c r="H11" s="2">
        <f>Rekenblad!I41</f>
        <v>0</v>
      </c>
      <c r="I11" s="2">
        <f>Rekenblad!J41</f>
        <v>0</v>
      </c>
      <c r="J11" s="2">
        <f>Rekenblad!K41</f>
        <v>0</v>
      </c>
      <c r="K11" s="2">
        <f>Rekenblad!L41</f>
        <v>0</v>
      </c>
      <c r="L11" s="2">
        <f>Rekenblad!M41</f>
        <v>0</v>
      </c>
    </row>
    <row r="14" spans="1:12" x14ac:dyDescent="0.25">
      <c r="A14" s="36" t="s">
        <v>63</v>
      </c>
    </row>
  </sheetData>
  <mergeCells count="1">
    <mergeCell ref="A1: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3358-E8EC-4462-B880-9D38ED35995B}">
  <dimension ref="A1:R34"/>
  <sheetViews>
    <sheetView showGridLines="0" workbookViewId="0">
      <selection activeCell="N3" sqref="N3:R29"/>
    </sheetView>
  </sheetViews>
  <sheetFormatPr defaultColWidth="12.140625" defaultRowHeight="15" x14ac:dyDescent="0.25"/>
  <cols>
    <col min="1" max="1" width="5" style="17" bestFit="1" customWidth="1"/>
    <col min="2" max="2" width="10.140625" style="17" bestFit="1" customWidth="1"/>
    <col min="3" max="3" width="12.5703125" style="17" customWidth="1"/>
    <col min="4" max="4" width="11.5703125" style="17" customWidth="1"/>
    <col min="5" max="5" width="11.5703125" style="42" customWidth="1"/>
    <col min="6" max="7" width="11.5703125" style="17" customWidth="1"/>
    <col min="8" max="8" width="18.5703125" style="14" customWidth="1"/>
    <col min="9" max="9" width="23.85546875" style="14" bestFit="1" customWidth="1"/>
    <col min="10" max="10" width="7.140625" style="17" bestFit="1" customWidth="1"/>
    <col min="11" max="11" width="10.140625" style="17" bestFit="1" customWidth="1"/>
    <col min="12" max="12" width="11.7109375" style="17" bestFit="1" customWidth="1"/>
    <col min="13" max="13" width="5" style="17" customWidth="1"/>
    <col min="14" max="14" width="14.42578125" style="19" customWidth="1"/>
    <col min="15" max="15" width="12.42578125" style="19" bestFit="1" customWidth="1"/>
    <col min="16" max="16" width="5.5703125" style="58" bestFit="1" customWidth="1"/>
    <col min="17" max="17" width="12.7109375" style="68" bestFit="1" customWidth="1"/>
    <col min="18" max="18" width="9.28515625" style="69" bestFit="1" customWidth="1"/>
    <col min="19" max="16384" width="12.140625" style="19"/>
  </cols>
  <sheetData>
    <row r="1" spans="1:18" s="5" customFormat="1" ht="32.25" thickBot="1" x14ac:dyDescent="0.3">
      <c r="A1" s="6" t="s">
        <v>23</v>
      </c>
      <c r="B1" s="6" t="s">
        <v>0</v>
      </c>
      <c r="C1" s="6" t="s">
        <v>1</v>
      </c>
      <c r="D1" s="6" t="s">
        <v>5</v>
      </c>
      <c r="E1" s="38" t="s">
        <v>35</v>
      </c>
      <c r="F1" s="6" t="s">
        <v>7</v>
      </c>
      <c r="G1" s="6" t="s">
        <v>8</v>
      </c>
      <c r="H1" s="7" t="s">
        <v>24</v>
      </c>
      <c r="I1" s="7" t="s">
        <v>25</v>
      </c>
      <c r="J1" s="6" t="s">
        <v>3</v>
      </c>
      <c r="K1" s="6" t="s">
        <v>4</v>
      </c>
      <c r="L1" s="6" t="s">
        <v>6</v>
      </c>
      <c r="M1" s="6"/>
      <c r="N1" s="3" t="s">
        <v>19</v>
      </c>
      <c r="O1" s="4" t="s">
        <v>18</v>
      </c>
      <c r="P1" s="57"/>
      <c r="Q1" s="71" t="s">
        <v>20</v>
      </c>
      <c r="R1" s="65"/>
    </row>
    <row r="2" spans="1:18" ht="15.75" x14ac:dyDescent="0.25">
      <c r="A2" s="15"/>
      <c r="B2" s="15"/>
      <c r="C2" s="15"/>
      <c r="D2" s="15"/>
      <c r="E2" s="39"/>
      <c r="F2" s="15"/>
      <c r="G2" s="15"/>
      <c r="H2" s="16"/>
      <c r="I2" s="16"/>
      <c r="N2" s="62"/>
      <c r="O2" s="63"/>
      <c r="P2" s="64"/>
      <c r="Q2" s="66" t="s">
        <v>61</v>
      </c>
      <c r="R2" s="67" t="s">
        <v>62</v>
      </c>
    </row>
    <row r="3" spans="1:18" x14ac:dyDescent="0.25">
      <c r="A3" s="17">
        <f t="shared" ref="A3" si="0">A4-1</f>
        <v>2013</v>
      </c>
      <c r="B3" s="20">
        <v>11829</v>
      </c>
      <c r="C3" s="21">
        <v>0.17</v>
      </c>
      <c r="D3" s="22">
        <v>7.5</v>
      </c>
      <c r="E3" s="40"/>
      <c r="F3" s="8">
        <v>162457</v>
      </c>
      <c r="G3" s="8">
        <v>27618</v>
      </c>
      <c r="H3" s="23">
        <v>6989</v>
      </c>
      <c r="I3" s="23">
        <v>13802</v>
      </c>
      <c r="J3" s="24">
        <v>0.12</v>
      </c>
      <c r="K3" s="9">
        <v>9542</v>
      </c>
      <c r="L3" s="25">
        <v>174286</v>
      </c>
      <c r="M3" s="25"/>
      <c r="N3" s="18">
        <v>1</v>
      </c>
      <c r="O3" s="18">
        <v>17532</v>
      </c>
      <c r="P3" s="58">
        <f>Q3+R3/12</f>
        <v>65</v>
      </c>
      <c r="Q3" s="68">
        <v>65</v>
      </c>
      <c r="R3" s="69">
        <v>0</v>
      </c>
    </row>
    <row r="4" spans="1:18" x14ac:dyDescent="0.25">
      <c r="A4" s="17">
        <f>A5-1</f>
        <v>2014</v>
      </c>
      <c r="B4" s="20">
        <v>11829</v>
      </c>
      <c r="C4" s="21">
        <v>0.155</v>
      </c>
      <c r="D4" s="22">
        <v>7.2</v>
      </c>
      <c r="E4" s="40"/>
      <c r="F4" s="8">
        <v>162457</v>
      </c>
      <c r="G4" s="8">
        <v>25181</v>
      </c>
      <c r="H4" s="23">
        <v>6989</v>
      </c>
      <c r="I4" s="23">
        <v>13802</v>
      </c>
      <c r="J4" s="24">
        <v>0.109</v>
      </c>
      <c r="K4" s="9">
        <v>9542</v>
      </c>
      <c r="L4" s="25">
        <v>174286</v>
      </c>
      <c r="M4" s="25"/>
      <c r="N4" s="18">
        <v>17533</v>
      </c>
      <c r="O4" s="18">
        <v>17501</v>
      </c>
      <c r="P4" s="58">
        <f t="shared" ref="P4:P29" si="1">Q4+R4/12</f>
        <v>65.083333333333329</v>
      </c>
      <c r="Q4" s="68">
        <v>65</v>
      </c>
      <c r="R4" s="69">
        <v>1</v>
      </c>
    </row>
    <row r="5" spans="1:18" x14ac:dyDescent="0.25">
      <c r="A5" s="17">
        <v>2015</v>
      </c>
      <c r="B5" s="20">
        <v>11936</v>
      </c>
      <c r="C5" s="21">
        <v>0.13800000000000001</v>
      </c>
      <c r="D5" s="22">
        <v>6.5</v>
      </c>
      <c r="E5" s="40"/>
      <c r="F5" s="10">
        <f t="shared" ref="F5:F13" si="2">L5-B5</f>
        <v>88064</v>
      </c>
      <c r="G5" s="8">
        <v>12153</v>
      </c>
      <c r="H5" s="23">
        <v>7052</v>
      </c>
      <c r="I5" s="23">
        <v>13927</v>
      </c>
      <c r="J5" s="24">
        <v>9.8000000000000004E-2</v>
      </c>
      <c r="K5" s="9">
        <v>8631</v>
      </c>
      <c r="L5" s="25">
        <v>100000</v>
      </c>
      <c r="M5" s="25"/>
      <c r="N5" s="18">
        <v>17502</v>
      </c>
      <c r="O5" s="18">
        <v>18202</v>
      </c>
      <c r="P5" s="58">
        <f t="shared" si="1"/>
        <v>65.166666666666671</v>
      </c>
      <c r="Q5" s="68">
        <v>65</v>
      </c>
      <c r="R5" s="69">
        <v>2</v>
      </c>
    </row>
    <row r="6" spans="1:18" x14ac:dyDescent="0.25">
      <c r="A6" s="26">
        <v>2016</v>
      </c>
      <c r="B6" s="27">
        <v>11996</v>
      </c>
      <c r="C6" s="28">
        <v>0.13800000000000001</v>
      </c>
      <c r="D6" s="29">
        <v>6.5</v>
      </c>
      <c r="E6" s="41">
        <v>0.48</v>
      </c>
      <c r="F6" s="10">
        <f t="shared" si="2"/>
        <v>89523</v>
      </c>
      <c r="G6" s="10">
        <v>12355</v>
      </c>
      <c r="H6" s="23">
        <v>7088</v>
      </c>
      <c r="I6" s="23">
        <v>13997</v>
      </c>
      <c r="J6" s="30">
        <v>9.8000000000000004E-2</v>
      </c>
      <c r="K6" s="11">
        <v>8774</v>
      </c>
      <c r="L6" s="25">
        <v>101519</v>
      </c>
      <c r="M6" s="25"/>
      <c r="N6" s="18">
        <v>18203</v>
      </c>
      <c r="O6" s="18">
        <v>18536</v>
      </c>
      <c r="P6" s="58">
        <f t="shared" si="1"/>
        <v>65.25</v>
      </c>
      <c r="Q6" s="68">
        <v>65</v>
      </c>
      <c r="R6" s="69">
        <v>3</v>
      </c>
    </row>
    <row r="7" spans="1:18" customFormat="1" x14ac:dyDescent="0.25">
      <c r="A7" s="26">
        <v>2017</v>
      </c>
      <c r="B7" s="27">
        <v>12032</v>
      </c>
      <c r="C7" s="28">
        <v>0.13800000000000001</v>
      </c>
      <c r="D7" s="29">
        <v>6.5</v>
      </c>
      <c r="E7" s="41">
        <v>0.48</v>
      </c>
      <c r="F7" s="10">
        <f t="shared" si="2"/>
        <v>91285</v>
      </c>
      <c r="G7" s="10">
        <v>12598</v>
      </c>
      <c r="H7" s="23">
        <v>7110</v>
      </c>
      <c r="I7" s="23">
        <v>14039</v>
      </c>
      <c r="J7" s="30">
        <v>9.8000000000000004E-2</v>
      </c>
      <c r="K7" s="11">
        <v>8946</v>
      </c>
      <c r="L7" s="31">
        <v>103317</v>
      </c>
      <c r="M7" s="31"/>
      <c r="N7" s="18">
        <v>18537</v>
      </c>
      <c r="O7" s="18">
        <v>18809</v>
      </c>
      <c r="P7" s="58">
        <f t="shared" si="1"/>
        <v>65.5</v>
      </c>
      <c r="Q7" s="68">
        <v>65</v>
      </c>
      <c r="R7" s="69">
        <v>6</v>
      </c>
    </row>
    <row r="8" spans="1:18" x14ac:dyDescent="0.25">
      <c r="A8" s="26">
        <v>2018</v>
      </c>
      <c r="B8" s="27">
        <v>12129</v>
      </c>
      <c r="C8" s="28">
        <v>0.13300000000000001</v>
      </c>
      <c r="D8" s="29">
        <v>6.27</v>
      </c>
      <c r="E8" s="41">
        <v>0.48049999999999998</v>
      </c>
      <c r="F8" s="10">
        <f t="shared" si="2"/>
        <v>92946</v>
      </c>
      <c r="G8" s="10">
        <f>ROUNDUP(C8*(L8-B8),0)</f>
        <v>12362</v>
      </c>
      <c r="H8" s="23">
        <v>7167</v>
      </c>
      <c r="I8" s="23">
        <v>14152</v>
      </c>
      <c r="J8" s="33">
        <v>9.4399999999999998E-2</v>
      </c>
      <c r="K8" s="11">
        <v>8775</v>
      </c>
      <c r="L8" s="31">
        <v>105075</v>
      </c>
      <c r="M8" s="31"/>
      <c r="N8" s="18">
        <v>18810</v>
      </c>
      <c r="O8" s="32">
        <v>19084</v>
      </c>
      <c r="P8" s="58">
        <f t="shared" si="1"/>
        <v>65.75</v>
      </c>
      <c r="Q8" s="68">
        <v>65</v>
      </c>
      <c r="R8" s="70">
        <v>9</v>
      </c>
    </row>
    <row r="9" spans="1:18" x14ac:dyDescent="0.25">
      <c r="A9" s="26">
        <v>2019</v>
      </c>
      <c r="B9" s="27">
        <v>12275</v>
      </c>
      <c r="C9" s="28">
        <f t="shared" ref="C9:D13" si="3">C8</f>
        <v>0.13300000000000001</v>
      </c>
      <c r="D9" s="29">
        <f t="shared" si="3"/>
        <v>6.27</v>
      </c>
      <c r="E9" s="41">
        <v>0.48250000000000004</v>
      </c>
      <c r="F9" s="10">
        <f t="shared" si="2"/>
        <v>95318</v>
      </c>
      <c r="G9" s="10">
        <f>ROUNDUP(C9*(L9-B9),0)</f>
        <v>12678</v>
      </c>
      <c r="H9" s="23">
        <v>7254</v>
      </c>
      <c r="I9" s="23">
        <v>14322</v>
      </c>
      <c r="J9" s="33">
        <v>9.4399999999999998E-2</v>
      </c>
      <c r="K9" s="11">
        <v>8999</v>
      </c>
      <c r="L9" s="27">
        <v>107593</v>
      </c>
      <c r="M9" s="27"/>
      <c r="N9" s="18">
        <v>19085</v>
      </c>
      <c r="O9" s="18">
        <v>19359</v>
      </c>
      <c r="P9" s="58">
        <f t="shared" si="1"/>
        <v>66</v>
      </c>
      <c r="Q9" s="68">
        <v>66</v>
      </c>
      <c r="R9" s="69">
        <v>0</v>
      </c>
    </row>
    <row r="10" spans="1:18" x14ac:dyDescent="0.25">
      <c r="A10" s="26">
        <v>2020</v>
      </c>
      <c r="B10" s="23">
        <v>12472</v>
      </c>
      <c r="C10" s="28">
        <f t="shared" si="3"/>
        <v>0.13300000000000001</v>
      </c>
      <c r="D10" s="29">
        <f t="shared" si="3"/>
        <v>6.27</v>
      </c>
      <c r="E10" s="41">
        <v>0.505</v>
      </c>
      <c r="F10" s="12">
        <f t="shared" si="2"/>
        <v>97639</v>
      </c>
      <c r="G10" s="12">
        <v>12986</v>
      </c>
      <c r="H10" s="23">
        <v>7371</v>
      </c>
      <c r="I10" s="23">
        <v>14552</v>
      </c>
      <c r="J10" s="33">
        <v>9.4399999999999998E-2</v>
      </c>
      <c r="K10" s="13">
        <v>9218</v>
      </c>
      <c r="L10" s="23">
        <v>110111</v>
      </c>
      <c r="M10" s="23"/>
      <c r="N10" s="18">
        <v>19360</v>
      </c>
      <c r="O10" s="18">
        <v>19602</v>
      </c>
      <c r="P10" s="58">
        <f t="shared" si="1"/>
        <v>66.333333333333329</v>
      </c>
      <c r="Q10" s="68">
        <v>66</v>
      </c>
      <c r="R10" s="69">
        <v>4</v>
      </c>
    </row>
    <row r="11" spans="1:18" x14ac:dyDescent="0.25">
      <c r="A11" s="26">
        <v>2021</v>
      </c>
      <c r="B11" s="23">
        <v>12672</v>
      </c>
      <c r="C11" s="28">
        <f t="shared" si="3"/>
        <v>0.13300000000000001</v>
      </c>
      <c r="D11" s="29">
        <f t="shared" si="3"/>
        <v>6.27</v>
      </c>
      <c r="E11" s="41">
        <v>0.505</v>
      </c>
      <c r="F11" s="10">
        <f t="shared" si="2"/>
        <v>99517</v>
      </c>
      <c r="G11" s="12">
        <f>ROUNDUP(C11*(L11-B11),0)</f>
        <v>13236</v>
      </c>
      <c r="H11" s="23">
        <v>7489</v>
      </c>
      <c r="I11" s="23">
        <v>14785</v>
      </c>
      <c r="J11" s="33">
        <v>9.4399999999999998E-2</v>
      </c>
      <c r="K11" s="13">
        <v>9395</v>
      </c>
      <c r="L11" s="23">
        <v>112189</v>
      </c>
      <c r="M11" s="23"/>
      <c r="N11" s="18">
        <v>19603</v>
      </c>
      <c r="O11" s="18">
        <v>19967</v>
      </c>
      <c r="P11" s="58">
        <f t="shared" si="1"/>
        <v>66.333333333333329</v>
      </c>
      <c r="Q11" s="68">
        <v>66</v>
      </c>
      <c r="R11" s="69">
        <v>4</v>
      </c>
    </row>
    <row r="12" spans="1:18" x14ac:dyDescent="0.25">
      <c r="A12" s="26">
        <v>2022</v>
      </c>
      <c r="B12" s="23">
        <v>12837</v>
      </c>
      <c r="C12" s="28">
        <f t="shared" si="3"/>
        <v>0.13300000000000001</v>
      </c>
      <c r="D12" s="29">
        <f t="shared" si="3"/>
        <v>6.27</v>
      </c>
      <c r="E12" s="41">
        <v>0.505</v>
      </c>
      <c r="F12" s="12">
        <f t="shared" si="2"/>
        <v>102029</v>
      </c>
      <c r="G12" s="12">
        <f>ROUNDUP(C12*(L12-B12),0)</f>
        <v>13570</v>
      </c>
      <c r="H12" s="23">
        <v>7587</v>
      </c>
      <c r="I12" s="23">
        <v>14978</v>
      </c>
      <c r="J12" s="33">
        <v>9.4399999999999998E-2</v>
      </c>
      <c r="K12" s="13">
        <v>9632</v>
      </c>
      <c r="L12" s="23">
        <v>114866</v>
      </c>
      <c r="M12" s="23"/>
      <c r="N12" s="18">
        <v>19968</v>
      </c>
      <c r="O12" s="18">
        <v>20332</v>
      </c>
      <c r="P12" s="58">
        <f t="shared" si="1"/>
        <v>66.333333333333329</v>
      </c>
      <c r="Q12" s="68">
        <v>66</v>
      </c>
      <c r="R12" s="69">
        <v>4</v>
      </c>
    </row>
    <row r="13" spans="1:18" x14ac:dyDescent="0.25">
      <c r="A13" s="26">
        <v>2023</v>
      </c>
      <c r="B13" s="23">
        <v>13646</v>
      </c>
      <c r="C13" s="28">
        <v>0.3</v>
      </c>
      <c r="D13" s="29">
        <f t="shared" si="3"/>
        <v>6.27</v>
      </c>
      <c r="E13" s="41">
        <v>0.505</v>
      </c>
      <c r="F13" s="12">
        <f t="shared" si="2"/>
        <v>115164</v>
      </c>
      <c r="G13" s="12">
        <v>38000</v>
      </c>
      <c r="H13" s="23">
        <v>38000</v>
      </c>
      <c r="I13" s="23">
        <v>38000</v>
      </c>
      <c r="J13" s="33">
        <v>9.4399999999999998E-2</v>
      </c>
      <c r="K13" s="13">
        <v>9632</v>
      </c>
      <c r="L13" s="23">
        <v>128810</v>
      </c>
      <c r="M13" s="23"/>
      <c r="N13" s="18">
        <v>20333</v>
      </c>
      <c r="O13" s="18">
        <v>20606</v>
      </c>
      <c r="P13" s="58">
        <f t="shared" si="1"/>
        <v>66.583333333333329</v>
      </c>
      <c r="Q13" s="68">
        <v>66</v>
      </c>
      <c r="R13" s="69">
        <v>7</v>
      </c>
    </row>
    <row r="14" spans="1:18" x14ac:dyDescent="0.25">
      <c r="A14" s="83">
        <v>2024</v>
      </c>
      <c r="B14" s="23">
        <v>17545</v>
      </c>
      <c r="C14" s="28">
        <v>0.3</v>
      </c>
      <c r="D14" s="29">
        <f t="shared" ref="D14" si="4">D13</f>
        <v>6.27</v>
      </c>
      <c r="E14" s="41"/>
      <c r="F14" s="12">
        <f t="shared" ref="F14:F25" si="5">L14-B14</f>
        <v>120255</v>
      </c>
      <c r="G14" s="12">
        <v>36077</v>
      </c>
      <c r="H14" s="23">
        <v>41608</v>
      </c>
      <c r="I14" s="23">
        <v>41608</v>
      </c>
      <c r="J14" s="33">
        <v>9.4399999999999998E-2</v>
      </c>
      <c r="K14" s="13">
        <v>9632</v>
      </c>
      <c r="L14" s="23">
        <v>137800</v>
      </c>
      <c r="N14" s="18">
        <v>20607</v>
      </c>
      <c r="O14" s="18">
        <v>20880</v>
      </c>
      <c r="P14" s="58">
        <f t="shared" si="1"/>
        <v>66.833333333333329</v>
      </c>
      <c r="Q14" s="68">
        <v>66</v>
      </c>
      <c r="R14" s="69">
        <v>10</v>
      </c>
    </row>
    <row r="15" spans="1:18" x14ac:dyDescent="0.25">
      <c r="A15" s="37">
        <v>2025</v>
      </c>
      <c r="B15" s="23">
        <v>18475</v>
      </c>
      <c r="C15" s="28">
        <v>0.3</v>
      </c>
      <c r="D15" s="29">
        <f t="shared" ref="D15" si="6">D14</f>
        <v>6.27</v>
      </c>
      <c r="E15" s="41"/>
      <c r="F15" s="12">
        <f t="shared" si="5"/>
        <v>119325</v>
      </c>
      <c r="G15" s="12">
        <v>35798</v>
      </c>
      <c r="H15" s="23">
        <v>42108</v>
      </c>
      <c r="I15" s="23">
        <v>42108</v>
      </c>
      <c r="J15" s="33">
        <v>9.4399999999999998E-2</v>
      </c>
      <c r="K15" s="13">
        <v>9632</v>
      </c>
      <c r="L15" s="23">
        <v>137800</v>
      </c>
      <c r="N15" s="18">
        <v>20881</v>
      </c>
      <c r="O15" s="18">
        <v>20879</v>
      </c>
      <c r="P15" s="58">
        <f t="shared" si="1"/>
        <v>66.833333333333329</v>
      </c>
      <c r="Q15" s="68">
        <v>66</v>
      </c>
      <c r="R15" s="69">
        <v>10</v>
      </c>
    </row>
    <row r="16" spans="1:18" x14ac:dyDescent="0.25">
      <c r="A16" s="26">
        <v>2026</v>
      </c>
      <c r="B16" s="23"/>
      <c r="C16" s="28">
        <v>0.3</v>
      </c>
      <c r="D16" s="29">
        <f t="shared" ref="D16" si="7">D15</f>
        <v>6.27</v>
      </c>
      <c r="E16" s="41"/>
      <c r="F16" s="12">
        <f t="shared" si="5"/>
        <v>0</v>
      </c>
      <c r="G16" s="12"/>
      <c r="H16" s="23"/>
      <c r="I16" s="23"/>
      <c r="J16" s="33">
        <v>9.4399999999999998E-2</v>
      </c>
      <c r="K16" s="13">
        <v>9632</v>
      </c>
      <c r="L16" s="23"/>
      <c r="M16" s="34"/>
      <c r="N16" s="18">
        <v>20880</v>
      </c>
      <c r="O16" s="18">
        <v>22281</v>
      </c>
      <c r="P16" s="58">
        <f t="shared" si="1"/>
        <v>67</v>
      </c>
      <c r="Q16" s="68">
        <v>67</v>
      </c>
      <c r="R16" s="69">
        <v>0</v>
      </c>
    </row>
    <row r="17" spans="1:18" x14ac:dyDescent="0.25">
      <c r="A17" s="26">
        <v>2027</v>
      </c>
      <c r="B17" s="23"/>
      <c r="C17" s="28">
        <v>0.3</v>
      </c>
      <c r="D17" s="29">
        <f t="shared" ref="D17" si="8">D16</f>
        <v>6.27</v>
      </c>
      <c r="E17" s="41"/>
      <c r="F17" s="12">
        <f t="shared" si="5"/>
        <v>0</v>
      </c>
      <c r="G17" s="12"/>
      <c r="H17" s="23"/>
      <c r="I17" s="23"/>
      <c r="J17" s="33">
        <v>9.4399999999999998E-2</v>
      </c>
      <c r="K17" s="13">
        <v>9632</v>
      </c>
      <c r="L17" s="23"/>
      <c r="N17" s="18">
        <v>22282</v>
      </c>
      <c r="O17" s="18">
        <v>22919</v>
      </c>
      <c r="P17" s="58">
        <f t="shared" si="1"/>
        <v>67.25</v>
      </c>
      <c r="Q17" s="68">
        <v>67</v>
      </c>
      <c r="R17" s="69">
        <v>3</v>
      </c>
    </row>
    <row r="18" spans="1:18" x14ac:dyDescent="0.25">
      <c r="A18" s="26">
        <v>2028</v>
      </c>
      <c r="B18" s="23"/>
      <c r="C18" s="28">
        <v>0.3</v>
      </c>
      <c r="D18" s="29">
        <f t="shared" ref="D18" si="9">D17</f>
        <v>6.27</v>
      </c>
      <c r="E18" s="41"/>
      <c r="F18" s="12">
        <f t="shared" si="5"/>
        <v>0</v>
      </c>
      <c r="G18" s="12"/>
      <c r="H18" s="23"/>
      <c r="I18" s="23"/>
      <c r="J18" s="33">
        <v>9.4399999999999998E-2</v>
      </c>
      <c r="K18" s="13">
        <v>9632</v>
      </c>
      <c r="L18" s="23"/>
      <c r="M18" s="35"/>
      <c r="N18" s="18">
        <v>22920</v>
      </c>
      <c r="O18" s="18">
        <v>24380</v>
      </c>
      <c r="P18" s="58">
        <f t="shared" si="1"/>
        <v>67.25</v>
      </c>
      <c r="Q18" s="68">
        <v>67</v>
      </c>
      <c r="R18" s="69">
        <v>3</v>
      </c>
    </row>
    <row r="19" spans="1:18" x14ac:dyDescent="0.25">
      <c r="A19" s="26">
        <v>2029</v>
      </c>
      <c r="B19" s="23"/>
      <c r="C19" s="28">
        <v>0.3</v>
      </c>
      <c r="D19" s="29">
        <f t="shared" ref="D19" si="10">D18</f>
        <v>6.27</v>
      </c>
      <c r="E19" s="41"/>
      <c r="F19" s="12">
        <f t="shared" si="5"/>
        <v>0</v>
      </c>
      <c r="G19" s="12"/>
      <c r="H19" s="23"/>
      <c r="I19" s="23"/>
      <c r="J19" s="33">
        <v>9.4399999999999998E-2</v>
      </c>
      <c r="K19" s="13">
        <v>9632</v>
      </c>
      <c r="L19" s="23"/>
      <c r="N19" s="18">
        <v>24381</v>
      </c>
      <c r="O19" s="18">
        <v>25384</v>
      </c>
      <c r="P19" s="58">
        <f t="shared" si="1"/>
        <v>67.5</v>
      </c>
      <c r="Q19" s="68">
        <v>67</v>
      </c>
      <c r="R19" s="69">
        <v>6</v>
      </c>
    </row>
    <row r="20" spans="1:18" x14ac:dyDescent="0.25">
      <c r="A20" s="26">
        <v>2030</v>
      </c>
      <c r="B20" s="23"/>
      <c r="C20" s="28">
        <v>0.3</v>
      </c>
      <c r="D20" s="29">
        <f t="shared" ref="D20" si="11">D19</f>
        <v>6.27</v>
      </c>
      <c r="E20" s="41"/>
      <c r="F20" s="12">
        <f t="shared" si="5"/>
        <v>0</v>
      </c>
      <c r="G20" s="12"/>
      <c r="H20" s="23"/>
      <c r="I20" s="23"/>
      <c r="J20" s="33">
        <v>9.4399999999999998E-2</v>
      </c>
      <c r="K20" s="13">
        <v>9632</v>
      </c>
      <c r="L20" s="23"/>
      <c r="N20" s="18">
        <v>25385</v>
      </c>
      <c r="O20" s="18">
        <v>26389</v>
      </c>
      <c r="P20" s="58">
        <f t="shared" si="1"/>
        <v>67.75</v>
      </c>
      <c r="Q20" s="68">
        <v>67</v>
      </c>
      <c r="R20" s="69">
        <v>9</v>
      </c>
    </row>
    <row r="21" spans="1:18" x14ac:dyDescent="0.25">
      <c r="A21" s="26">
        <v>2031</v>
      </c>
      <c r="B21" s="23"/>
      <c r="C21" s="28">
        <v>0.3</v>
      </c>
      <c r="D21" s="29">
        <f t="shared" ref="D21" si="12">D20</f>
        <v>6.27</v>
      </c>
      <c r="E21" s="41"/>
      <c r="F21" s="12">
        <f t="shared" si="5"/>
        <v>0</v>
      </c>
      <c r="G21" s="12"/>
      <c r="H21" s="23"/>
      <c r="I21" s="23"/>
      <c r="J21" s="33">
        <v>9.4399999999999998E-2</v>
      </c>
      <c r="K21" s="13">
        <v>9632</v>
      </c>
      <c r="L21" s="23"/>
      <c r="N21" s="18">
        <v>26390</v>
      </c>
      <c r="O21" s="18">
        <v>27759</v>
      </c>
      <c r="P21" s="58">
        <f t="shared" si="1"/>
        <v>68</v>
      </c>
      <c r="Q21" s="68">
        <v>68</v>
      </c>
      <c r="R21" s="69">
        <v>0</v>
      </c>
    </row>
    <row r="22" spans="1:18" x14ac:dyDescent="0.25">
      <c r="A22" s="26">
        <v>2032</v>
      </c>
      <c r="B22" s="23"/>
      <c r="C22" s="28">
        <v>0.3</v>
      </c>
      <c r="D22" s="29">
        <f t="shared" ref="D22" si="13">D21</f>
        <v>6.27</v>
      </c>
      <c r="E22" s="41"/>
      <c r="F22" s="12">
        <f t="shared" si="5"/>
        <v>0</v>
      </c>
      <c r="G22" s="12"/>
      <c r="H22" s="23"/>
      <c r="I22" s="23"/>
      <c r="J22" s="33">
        <v>9.4399999999999998E-2</v>
      </c>
      <c r="K22" s="13">
        <v>9632</v>
      </c>
      <c r="L22" s="23"/>
      <c r="N22" s="18">
        <v>27760</v>
      </c>
      <c r="O22" s="18">
        <v>28763</v>
      </c>
      <c r="P22" s="58">
        <f t="shared" si="1"/>
        <v>68.25</v>
      </c>
      <c r="Q22" s="68">
        <v>68</v>
      </c>
      <c r="R22" s="69">
        <v>3</v>
      </c>
    </row>
    <row r="23" spans="1:18" x14ac:dyDescent="0.25">
      <c r="A23" s="26">
        <v>2033</v>
      </c>
      <c r="B23" s="23"/>
      <c r="C23" s="28">
        <v>0.3</v>
      </c>
      <c r="D23" s="29">
        <f t="shared" ref="D23" si="14">D22</f>
        <v>6.27</v>
      </c>
      <c r="E23" s="41"/>
      <c r="F23" s="12">
        <f t="shared" si="5"/>
        <v>0</v>
      </c>
      <c r="G23" s="12"/>
      <c r="H23" s="23"/>
      <c r="I23" s="23"/>
      <c r="J23" s="33">
        <v>9.4399999999999998E-2</v>
      </c>
      <c r="K23" s="13">
        <v>9632</v>
      </c>
      <c r="L23" s="23"/>
      <c r="N23" s="18">
        <v>28764</v>
      </c>
      <c r="O23" s="18">
        <v>29767</v>
      </c>
      <c r="P23" s="58">
        <f t="shared" si="1"/>
        <v>68.5</v>
      </c>
      <c r="Q23" s="68">
        <v>68</v>
      </c>
      <c r="R23" s="69">
        <v>6</v>
      </c>
    </row>
    <row r="24" spans="1:18" x14ac:dyDescent="0.25">
      <c r="A24" s="26">
        <v>2034</v>
      </c>
      <c r="B24" s="23"/>
      <c r="C24" s="28">
        <v>0.3</v>
      </c>
      <c r="D24" s="29">
        <f t="shared" ref="D24" si="15">D23</f>
        <v>6.27</v>
      </c>
      <c r="E24" s="41"/>
      <c r="F24" s="12">
        <f t="shared" si="5"/>
        <v>0</v>
      </c>
      <c r="G24" s="12"/>
      <c r="H24" s="23"/>
      <c r="I24" s="23"/>
      <c r="J24" s="33">
        <v>9.4399999999999998E-2</v>
      </c>
      <c r="K24" s="13">
        <v>9632</v>
      </c>
      <c r="L24" s="23"/>
      <c r="N24" s="18">
        <v>29768</v>
      </c>
      <c r="O24" s="18">
        <v>31137</v>
      </c>
      <c r="P24" s="58">
        <f t="shared" si="1"/>
        <v>68.75</v>
      </c>
      <c r="Q24" s="68">
        <v>68</v>
      </c>
      <c r="R24" s="69">
        <v>9</v>
      </c>
    </row>
    <row r="25" spans="1:18" x14ac:dyDescent="0.25">
      <c r="A25" s="26">
        <v>2035</v>
      </c>
      <c r="B25" s="23"/>
      <c r="C25" s="28">
        <v>0.3</v>
      </c>
      <c r="D25" s="29">
        <f t="shared" ref="D25" si="16">D24</f>
        <v>6.27</v>
      </c>
      <c r="E25" s="41"/>
      <c r="F25" s="12">
        <f t="shared" si="5"/>
        <v>0</v>
      </c>
      <c r="G25" s="12"/>
      <c r="H25" s="23"/>
      <c r="I25" s="23"/>
      <c r="J25" s="33">
        <v>9.4399999999999998E-2</v>
      </c>
      <c r="K25" s="13">
        <v>9632</v>
      </c>
      <c r="L25" s="23"/>
      <c r="N25" s="18">
        <v>31138</v>
      </c>
      <c r="O25" s="18">
        <v>32508</v>
      </c>
      <c r="P25" s="58">
        <f t="shared" si="1"/>
        <v>69</v>
      </c>
      <c r="Q25" s="68">
        <v>69</v>
      </c>
      <c r="R25" s="69">
        <v>0</v>
      </c>
    </row>
    <row r="26" spans="1:18" x14ac:dyDescent="0.25">
      <c r="N26" s="18">
        <v>32509</v>
      </c>
      <c r="O26" s="18">
        <v>33511</v>
      </c>
      <c r="P26" s="58">
        <f t="shared" si="1"/>
        <v>69.25</v>
      </c>
      <c r="Q26" s="68">
        <v>69</v>
      </c>
      <c r="R26" s="69">
        <v>3</v>
      </c>
    </row>
    <row r="27" spans="1:18" x14ac:dyDescent="0.25">
      <c r="N27" s="18">
        <v>33512</v>
      </c>
      <c r="O27" s="18">
        <v>34880</v>
      </c>
      <c r="P27" s="58">
        <f t="shared" si="1"/>
        <v>69.5</v>
      </c>
      <c r="Q27" s="68">
        <v>69</v>
      </c>
      <c r="R27" s="69">
        <v>6</v>
      </c>
    </row>
    <row r="28" spans="1:18" x14ac:dyDescent="0.25">
      <c r="N28" s="18">
        <v>34881</v>
      </c>
      <c r="O28" s="18">
        <v>36250</v>
      </c>
      <c r="P28" s="58">
        <f t="shared" si="1"/>
        <v>69.75</v>
      </c>
      <c r="Q28" s="68">
        <v>69</v>
      </c>
      <c r="R28" s="69">
        <v>9</v>
      </c>
    </row>
    <row r="29" spans="1:18" x14ac:dyDescent="0.25">
      <c r="N29" s="18">
        <v>36251</v>
      </c>
      <c r="O29" s="18">
        <v>45292</v>
      </c>
      <c r="P29" s="58">
        <f t="shared" si="1"/>
        <v>70</v>
      </c>
      <c r="Q29" s="68">
        <v>70</v>
      </c>
      <c r="R29" s="69">
        <v>0</v>
      </c>
    </row>
    <row r="30" spans="1:18" x14ac:dyDescent="0.25">
      <c r="N30" s="18"/>
      <c r="O30" s="18"/>
    </row>
    <row r="31" spans="1:18" x14ac:dyDescent="0.25">
      <c r="N31" s="18"/>
      <c r="O31" s="18"/>
    </row>
    <row r="32" spans="1:18" x14ac:dyDescent="0.25">
      <c r="N32" s="18"/>
      <c r="O32" s="18"/>
    </row>
    <row r="33" spans="14:15" x14ac:dyDescent="0.25">
      <c r="N33" s="18"/>
      <c r="O33" s="18"/>
    </row>
    <row r="34" spans="14:15" x14ac:dyDescent="0.25">
      <c r="N34" s="18"/>
      <c r="O3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8095-17BD-4C62-BB4B-B58030F5CBC4}">
  <dimension ref="A1:P38"/>
  <sheetViews>
    <sheetView workbookViewId="0">
      <selection activeCell="A14" sqref="A14"/>
    </sheetView>
  </sheetViews>
  <sheetFormatPr defaultRowHeight="15" x14ac:dyDescent="0.25"/>
  <cols>
    <col min="2" max="2" width="9.140625" customWidth="1"/>
  </cols>
  <sheetData>
    <row r="1" spans="1:16" s="1" customFormat="1" x14ac:dyDescent="0.25">
      <c r="A1" s="1" t="s">
        <v>39</v>
      </c>
      <c r="B1" s="82" t="s">
        <v>38</v>
      </c>
      <c r="C1" s="82"/>
      <c r="D1" s="82"/>
      <c r="E1" s="82"/>
      <c r="F1" s="82"/>
      <c r="G1" s="82"/>
      <c r="H1" s="82"/>
      <c r="I1" s="82"/>
      <c r="J1" s="82"/>
      <c r="K1" s="82"/>
      <c r="L1" s="82"/>
      <c r="M1" s="82"/>
      <c r="N1" s="82"/>
      <c r="O1" s="82"/>
      <c r="P1" s="82"/>
    </row>
    <row r="2" spans="1:16" x14ac:dyDescent="0.25">
      <c r="A2" t="s">
        <v>37</v>
      </c>
      <c r="B2" s="79" t="s">
        <v>40</v>
      </c>
      <c r="C2" s="79"/>
      <c r="D2" s="79"/>
      <c r="E2" s="79"/>
      <c r="F2" s="79"/>
      <c r="G2" s="79"/>
      <c r="H2" s="79"/>
      <c r="I2" s="79"/>
      <c r="J2" s="79"/>
      <c r="K2" s="79"/>
      <c r="L2" s="79"/>
      <c r="M2" s="79"/>
      <c r="N2" s="79"/>
      <c r="O2" s="79"/>
      <c r="P2" s="79"/>
    </row>
    <row r="3" spans="1:16" x14ac:dyDescent="0.25">
      <c r="B3" s="79" t="s">
        <v>41</v>
      </c>
      <c r="C3" s="79"/>
      <c r="D3" s="79"/>
      <c r="E3" s="79"/>
      <c r="F3" s="79"/>
      <c r="G3" s="79"/>
      <c r="H3" s="79"/>
      <c r="I3" s="79"/>
      <c r="J3" s="79"/>
      <c r="K3" s="79"/>
      <c r="L3" s="79"/>
      <c r="M3" s="79"/>
      <c r="N3" s="79"/>
      <c r="O3" s="79"/>
      <c r="P3" s="79"/>
    </row>
    <row r="4" spans="1:16" x14ac:dyDescent="0.25">
      <c r="B4" s="79" t="s">
        <v>42</v>
      </c>
      <c r="C4" s="79"/>
      <c r="D4" s="79"/>
      <c r="E4" s="79"/>
      <c r="F4" s="79"/>
      <c r="G4" s="79"/>
      <c r="H4" s="79"/>
      <c r="I4" s="79"/>
      <c r="J4" s="79"/>
      <c r="K4" s="79"/>
      <c r="L4" s="79"/>
      <c r="M4" s="79"/>
      <c r="N4" s="79"/>
      <c r="O4" s="79"/>
      <c r="P4" s="79"/>
    </row>
    <row r="5" spans="1:16" x14ac:dyDescent="0.25">
      <c r="A5" t="s">
        <v>43</v>
      </c>
      <c r="B5" s="79" t="s">
        <v>46</v>
      </c>
      <c r="C5" s="79"/>
      <c r="D5" s="79"/>
      <c r="E5" s="79"/>
      <c r="F5" s="79"/>
      <c r="G5" s="79"/>
      <c r="H5" s="79"/>
      <c r="I5" s="79"/>
      <c r="J5" s="79"/>
      <c r="K5" s="79"/>
      <c r="L5" s="79"/>
      <c r="M5" s="79"/>
      <c r="N5" s="79"/>
      <c r="O5" s="79"/>
      <c r="P5" s="79"/>
    </row>
    <row r="6" spans="1:16" x14ac:dyDescent="0.25">
      <c r="B6" t="s">
        <v>47</v>
      </c>
    </row>
    <row r="7" spans="1:16" x14ac:dyDescent="0.25">
      <c r="A7" t="s">
        <v>44</v>
      </c>
      <c r="B7" s="79" t="s">
        <v>45</v>
      </c>
      <c r="C7" s="79"/>
      <c r="D7" s="79"/>
      <c r="E7" s="79"/>
      <c r="F7" s="79"/>
      <c r="G7" s="79"/>
      <c r="H7" s="79"/>
      <c r="I7" s="79"/>
      <c r="J7" s="79"/>
      <c r="K7" s="79"/>
      <c r="L7" s="79"/>
      <c r="M7" s="79"/>
      <c r="N7" s="79"/>
      <c r="O7" s="79"/>
      <c r="P7" s="79"/>
    </row>
    <row r="8" spans="1:16" x14ac:dyDescent="0.25">
      <c r="B8" s="79" t="s">
        <v>53</v>
      </c>
      <c r="C8" s="79"/>
      <c r="D8" s="79"/>
      <c r="E8" s="79"/>
      <c r="F8" s="79"/>
      <c r="G8" s="79"/>
      <c r="H8" s="79"/>
      <c r="I8" s="79"/>
      <c r="J8" s="79"/>
      <c r="K8" s="79"/>
      <c r="L8" s="79"/>
      <c r="M8" s="79"/>
      <c r="N8" s="79"/>
      <c r="O8" s="79"/>
      <c r="P8" s="79"/>
    </row>
    <row r="9" spans="1:16" x14ac:dyDescent="0.25">
      <c r="B9" s="79" t="s">
        <v>48</v>
      </c>
      <c r="C9" s="79"/>
      <c r="D9" s="79"/>
      <c r="E9" s="79"/>
      <c r="F9" s="79"/>
      <c r="G9" s="79"/>
      <c r="H9" s="79"/>
      <c r="I9" s="79"/>
      <c r="J9" s="79"/>
      <c r="K9" s="79"/>
      <c r="L9" s="79"/>
      <c r="M9" s="79"/>
      <c r="N9" s="79"/>
      <c r="O9" s="79"/>
      <c r="P9" s="79"/>
    </row>
    <row r="10" spans="1:16" x14ac:dyDescent="0.25">
      <c r="B10" s="79" t="s">
        <v>49</v>
      </c>
      <c r="C10" s="79"/>
      <c r="D10" s="79"/>
      <c r="E10" s="79"/>
      <c r="F10" s="79"/>
      <c r="G10" s="79"/>
      <c r="H10" s="79"/>
      <c r="I10" s="79"/>
      <c r="J10" s="79"/>
      <c r="K10" s="79"/>
      <c r="L10" s="79"/>
      <c r="M10" s="79"/>
      <c r="N10" s="79"/>
      <c r="O10" s="79"/>
      <c r="P10" s="79"/>
    </row>
    <row r="11" spans="1:16" x14ac:dyDescent="0.25">
      <c r="B11" s="79" t="s">
        <v>54</v>
      </c>
      <c r="C11" s="79"/>
      <c r="D11" s="79"/>
      <c r="E11" s="79"/>
      <c r="F11" s="79"/>
      <c r="G11" s="79"/>
      <c r="H11" s="79"/>
      <c r="I11" s="79"/>
      <c r="J11" s="79"/>
      <c r="K11" s="79"/>
      <c r="L11" s="79"/>
      <c r="M11" s="79"/>
      <c r="N11" s="79"/>
      <c r="O11" s="79"/>
      <c r="P11" s="79"/>
    </row>
    <row r="12" spans="1:16" x14ac:dyDescent="0.25">
      <c r="A12" t="s">
        <v>57</v>
      </c>
      <c r="B12" s="79" t="s">
        <v>58</v>
      </c>
      <c r="C12" s="79"/>
      <c r="D12" s="79"/>
      <c r="E12" s="79"/>
      <c r="F12" s="79"/>
      <c r="G12" s="79"/>
      <c r="H12" s="79"/>
      <c r="I12" s="79"/>
      <c r="J12" s="79"/>
      <c r="K12" s="79"/>
      <c r="L12" s="79"/>
      <c r="M12" s="79"/>
      <c r="N12" s="79"/>
      <c r="O12" s="79"/>
      <c r="P12" s="79"/>
    </row>
    <row r="13" spans="1:16" x14ac:dyDescent="0.25">
      <c r="A13" t="s">
        <v>64</v>
      </c>
      <c r="B13" s="79" t="s">
        <v>65</v>
      </c>
      <c r="C13" s="79"/>
      <c r="D13" s="79"/>
      <c r="E13" s="79"/>
      <c r="F13" s="79"/>
      <c r="G13" s="79"/>
      <c r="H13" s="79"/>
      <c r="I13" s="79"/>
      <c r="J13" s="79"/>
      <c r="K13" s="79"/>
      <c r="L13" s="79"/>
      <c r="M13" s="79"/>
      <c r="N13" s="79"/>
      <c r="O13" s="79"/>
      <c r="P13" s="79"/>
    </row>
    <row r="14" spans="1:16" x14ac:dyDescent="0.25">
      <c r="B14" s="79"/>
      <c r="C14" s="79"/>
      <c r="D14" s="79"/>
      <c r="E14" s="79"/>
      <c r="F14" s="79"/>
      <c r="G14" s="79"/>
      <c r="H14" s="79"/>
      <c r="I14" s="79"/>
      <c r="J14" s="79"/>
      <c r="K14" s="79"/>
      <c r="L14" s="79"/>
      <c r="M14" s="79"/>
      <c r="N14" s="79"/>
      <c r="O14" s="79"/>
      <c r="P14" s="79"/>
    </row>
    <row r="15" spans="1:16" x14ac:dyDescent="0.25">
      <c r="B15" s="79"/>
      <c r="C15" s="79"/>
      <c r="D15" s="79"/>
      <c r="E15" s="79"/>
      <c r="F15" s="79"/>
      <c r="G15" s="79"/>
      <c r="H15" s="79"/>
      <c r="I15" s="79"/>
      <c r="J15" s="79"/>
      <c r="K15" s="79"/>
      <c r="L15" s="79"/>
      <c r="M15" s="79"/>
      <c r="N15" s="79"/>
      <c r="O15" s="79"/>
      <c r="P15" s="79"/>
    </row>
    <row r="16" spans="1:16" x14ac:dyDescent="0.25">
      <c r="B16" s="79"/>
      <c r="C16" s="79"/>
      <c r="D16" s="79"/>
      <c r="E16" s="79"/>
      <c r="F16" s="79"/>
      <c r="G16" s="79"/>
      <c r="H16" s="79"/>
      <c r="I16" s="79"/>
      <c r="J16" s="79"/>
      <c r="K16" s="79"/>
      <c r="L16" s="79"/>
      <c r="M16" s="79"/>
      <c r="N16" s="79"/>
      <c r="O16" s="79"/>
      <c r="P16" s="79"/>
    </row>
    <row r="17" spans="2:16" x14ac:dyDescent="0.25">
      <c r="B17" s="79"/>
      <c r="C17" s="79"/>
      <c r="D17" s="79"/>
      <c r="E17" s="79"/>
      <c r="F17" s="79"/>
      <c r="G17" s="79"/>
      <c r="H17" s="79"/>
      <c r="I17" s="79"/>
      <c r="J17" s="79"/>
      <c r="K17" s="79"/>
      <c r="L17" s="79"/>
      <c r="M17" s="79"/>
      <c r="N17" s="79"/>
      <c r="O17" s="79"/>
      <c r="P17" s="79"/>
    </row>
    <row r="18" spans="2:16" x14ac:dyDescent="0.25">
      <c r="B18" s="79"/>
      <c r="C18" s="79"/>
      <c r="D18" s="79"/>
      <c r="E18" s="79"/>
      <c r="F18" s="79"/>
      <c r="G18" s="79"/>
      <c r="H18" s="79"/>
      <c r="I18" s="79"/>
      <c r="J18" s="79"/>
      <c r="K18" s="79"/>
      <c r="L18" s="79"/>
      <c r="M18" s="79"/>
      <c r="N18" s="79"/>
      <c r="O18" s="79"/>
      <c r="P18" s="79"/>
    </row>
    <row r="19" spans="2:16" x14ac:dyDescent="0.25">
      <c r="B19" s="79"/>
      <c r="C19" s="79"/>
      <c r="D19" s="79"/>
      <c r="E19" s="79"/>
      <c r="F19" s="79"/>
      <c r="G19" s="79"/>
      <c r="H19" s="79"/>
      <c r="I19" s="79"/>
      <c r="J19" s="79"/>
      <c r="K19" s="79"/>
      <c r="L19" s="79"/>
      <c r="M19" s="79"/>
      <c r="N19" s="79"/>
      <c r="O19" s="79"/>
      <c r="P19" s="79"/>
    </row>
    <row r="20" spans="2:16" x14ac:dyDescent="0.25">
      <c r="B20" s="79"/>
      <c r="C20" s="79"/>
      <c r="D20" s="79"/>
      <c r="E20" s="79"/>
      <c r="F20" s="79"/>
      <c r="G20" s="79"/>
      <c r="H20" s="79"/>
      <c r="I20" s="79"/>
      <c r="J20" s="79"/>
      <c r="K20" s="79"/>
      <c r="L20" s="79"/>
      <c r="M20" s="79"/>
      <c r="N20" s="79"/>
      <c r="O20" s="79"/>
      <c r="P20" s="79"/>
    </row>
    <row r="21" spans="2:16" x14ac:dyDescent="0.25">
      <c r="B21" s="79"/>
      <c r="C21" s="79"/>
      <c r="D21" s="79"/>
      <c r="E21" s="79"/>
      <c r="F21" s="79"/>
      <c r="G21" s="79"/>
      <c r="H21" s="79"/>
      <c r="I21" s="79"/>
      <c r="J21" s="79"/>
      <c r="K21" s="79"/>
      <c r="L21" s="79"/>
      <c r="M21" s="79"/>
      <c r="N21" s="79"/>
      <c r="O21" s="79"/>
      <c r="P21" s="79"/>
    </row>
    <row r="22" spans="2:16" x14ac:dyDescent="0.25">
      <c r="B22" s="79"/>
      <c r="C22" s="79"/>
      <c r="D22" s="79"/>
      <c r="E22" s="79"/>
      <c r="F22" s="79"/>
      <c r="G22" s="79"/>
      <c r="H22" s="79"/>
      <c r="I22" s="79"/>
      <c r="J22" s="79"/>
      <c r="K22" s="79"/>
      <c r="L22" s="79"/>
      <c r="M22" s="79"/>
      <c r="N22" s="79"/>
      <c r="O22" s="79"/>
      <c r="P22" s="79"/>
    </row>
    <row r="23" spans="2:16" x14ac:dyDescent="0.25">
      <c r="B23" s="79"/>
      <c r="C23" s="79"/>
      <c r="D23" s="79"/>
      <c r="E23" s="79"/>
      <c r="F23" s="79"/>
      <c r="G23" s="79"/>
      <c r="H23" s="79"/>
      <c r="I23" s="79"/>
      <c r="J23" s="79"/>
      <c r="K23" s="79"/>
      <c r="L23" s="79"/>
      <c r="M23" s="79"/>
      <c r="N23" s="79"/>
      <c r="O23" s="79"/>
      <c r="P23" s="79"/>
    </row>
    <row r="24" spans="2:16" x14ac:dyDescent="0.25">
      <c r="B24" s="79"/>
      <c r="C24" s="79"/>
      <c r="D24" s="79"/>
      <c r="E24" s="79"/>
      <c r="F24" s="79"/>
      <c r="G24" s="79"/>
      <c r="H24" s="79"/>
      <c r="I24" s="79"/>
      <c r="J24" s="79"/>
      <c r="K24" s="79"/>
      <c r="L24" s="79"/>
      <c r="M24" s="79"/>
      <c r="N24" s="79"/>
      <c r="O24" s="79"/>
      <c r="P24" s="79"/>
    </row>
    <row r="25" spans="2:16" x14ac:dyDescent="0.25">
      <c r="B25" s="79"/>
      <c r="C25" s="79"/>
      <c r="D25" s="79"/>
      <c r="E25" s="79"/>
      <c r="F25" s="79"/>
      <c r="G25" s="79"/>
      <c r="H25" s="79"/>
      <c r="I25" s="79"/>
      <c r="J25" s="79"/>
      <c r="K25" s="79"/>
      <c r="L25" s="79"/>
      <c r="M25" s="79"/>
      <c r="N25" s="79"/>
      <c r="O25" s="79"/>
      <c r="P25" s="79"/>
    </row>
    <row r="26" spans="2:16" x14ac:dyDescent="0.25">
      <c r="B26" s="79"/>
      <c r="C26" s="79"/>
      <c r="D26" s="79"/>
      <c r="E26" s="79"/>
      <c r="F26" s="79"/>
      <c r="G26" s="79"/>
      <c r="H26" s="79"/>
      <c r="I26" s="79"/>
      <c r="J26" s="79"/>
      <c r="K26" s="79"/>
      <c r="L26" s="79"/>
      <c r="M26" s="79"/>
      <c r="N26" s="79"/>
      <c r="O26" s="79"/>
      <c r="P26" s="79"/>
    </row>
    <row r="27" spans="2:16" x14ac:dyDescent="0.25">
      <c r="B27" s="79"/>
      <c r="C27" s="79"/>
      <c r="D27" s="79"/>
      <c r="E27" s="79"/>
      <c r="F27" s="79"/>
      <c r="G27" s="79"/>
      <c r="H27" s="79"/>
      <c r="I27" s="79"/>
      <c r="J27" s="79"/>
      <c r="K27" s="79"/>
      <c r="L27" s="79"/>
      <c r="M27" s="79"/>
      <c r="N27" s="79"/>
      <c r="O27" s="79"/>
      <c r="P27" s="79"/>
    </row>
    <row r="28" spans="2:16" x14ac:dyDescent="0.25">
      <c r="B28" s="79"/>
      <c r="C28" s="79"/>
      <c r="D28" s="79"/>
      <c r="E28" s="79"/>
      <c r="F28" s="79"/>
      <c r="G28" s="79"/>
      <c r="H28" s="79"/>
      <c r="I28" s="79"/>
      <c r="J28" s="79"/>
      <c r="K28" s="79"/>
      <c r="L28" s="79"/>
      <c r="M28" s="79"/>
      <c r="N28" s="79"/>
      <c r="O28" s="79"/>
      <c r="P28" s="79"/>
    </row>
    <row r="29" spans="2:16" x14ac:dyDescent="0.25">
      <c r="B29" s="79"/>
      <c r="C29" s="79"/>
      <c r="D29" s="79"/>
      <c r="E29" s="79"/>
      <c r="F29" s="79"/>
      <c r="G29" s="79"/>
      <c r="H29" s="79"/>
      <c r="I29" s="79"/>
      <c r="J29" s="79"/>
      <c r="K29" s="79"/>
      <c r="L29" s="79"/>
      <c r="M29" s="79"/>
      <c r="N29" s="79"/>
      <c r="O29" s="79"/>
      <c r="P29" s="79"/>
    </row>
    <row r="30" spans="2:16" x14ac:dyDescent="0.25">
      <c r="B30" s="79"/>
      <c r="C30" s="79"/>
      <c r="D30" s="79"/>
      <c r="E30" s="79"/>
      <c r="F30" s="79"/>
      <c r="G30" s="79"/>
      <c r="H30" s="79"/>
      <c r="I30" s="79"/>
      <c r="J30" s="79"/>
      <c r="K30" s="79"/>
      <c r="L30" s="79"/>
      <c r="M30" s="79"/>
      <c r="N30" s="79"/>
      <c r="O30" s="79"/>
      <c r="P30" s="79"/>
    </row>
    <row r="31" spans="2:16" x14ac:dyDescent="0.25">
      <c r="B31" s="79"/>
      <c r="C31" s="79"/>
      <c r="D31" s="79"/>
      <c r="E31" s="79"/>
      <c r="F31" s="79"/>
      <c r="G31" s="79"/>
      <c r="H31" s="79"/>
      <c r="I31" s="79"/>
      <c r="J31" s="79"/>
      <c r="K31" s="79"/>
      <c r="L31" s="79"/>
      <c r="M31" s="79"/>
      <c r="N31" s="79"/>
      <c r="O31" s="79"/>
      <c r="P31" s="79"/>
    </row>
    <row r="32" spans="2:16" x14ac:dyDescent="0.25">
      <c r="B32" s="79"/>
      <c r="C32" s="79"/>
      <c r="D32" s="79"/>
      <c r="E32" s="79"/>
      <c r="F32" s="79"/>
      <c r="G32" s="79"/>
      <c r="H32" s="79"/>
      <c r="I32" s="79"/>
      <c r="J32" s="79"/>
      <c r="K32" s="79"/>
      <c r="L32" s="79"/>
      <c r="M32" s="79"/>
      <c r="N32" s="79"/>
      <c r="O32" s="79"/>
      <c r="P32" s="79"/>
    </row>
    <row r="33" spans="2:16" x14ac:dyDescent="0.25">
      <c r="B33" s="79"/>
      <c r="C33" s="79"/>
      <c r="D33" s="79"/>
      <c r="E33" s="79"/>
      <c r="F33" s="79"/>
      <c r="G33" s="79"/>
      <c r="H33" s="79"/>
      <c r="I33" s="79"/>
      <c r="J33" s="79"/>
      <c r="K33" s="79"/>
      <c r="L33" s="79"/>
      <c r="M33" s="79"/>
      <c r="N33" s="79"/>
      <c r="O33" s="79"/>
      <c r="P33" s="79"/>
    </row>
    <row r="34" spans="2:16" x14ac:dyDescent="0.25">
      <c r="B34" s="79"/>
      <c r="C34" s="79"/>
      <c r="D34" s="79"/>
      <c r="E34" s="79"/>
      <c r="F34" s="79"/>
      <c r="G34" s="79"/>
      <c r="H34" s="79"/>
      <c r="I34" s="79"/>
      <c r="J34" s="79"/>
      <c r="K34" s="79"/>
      <c r="L34" s="79"/>
      <c r="M34" s="79"/>
      <c r="N34" s="79"/>
      <c r="O34" s="79"/>
      <c r="P34" s="79"/>
    </row>
    <row r="35" spans="2:16" x14ac:dyDescent="0.25">
      <c r="B35" s="79"/>
      <c r="C35" s="79"/>
      <c r="D35" s="79"/>
      <c r="E35" s="79"/>
      <c r="F35" s="79"/>
      <c r="G35" s="79"/>
      <c r="H35" s="79"/>
      <c r="I35" s="79"/>
      <c r="J35" s="79"/>
      <c r="K35" s="79"/>
      <c r="L35" s="79"/>
      <c r="M35" s="79"/>
      <c r="N35" s="79"/>
      <c r="O35" s="79"/>
      <c r="P35" s="79"/>
    </row>
    <row r="36" spans="2:16" x14ac:dyDescent="0.25">
      <c r="B36" s="79"/>
      <c r="C36" s="79"/>
      <c r="D36" s="79"/>
      <c r="E36" s="79"/>
      <c r="F36" s="79"/>
      <c r="G36" s="79"/>
      <c r="H36" s="79"/>
      <c r="I36" s="79"/>
      <c r="J36" s="79"/>
      <c r="K36" s="79"/>
      <c r="L36" s="79"/>
      <c r="M36" s="79"/>
      <c r="N36" s="79"/>
      <c r="O36" s="79"/>
      <c r="P36" s="79"/>
    </row>
    <row r="37" spans="2:16" x14ac:dyDescent="0.25">
      <c r="B37" s="79"/>
      <c r="C37" s="79"/>
      <c r="D37" s="79"/>
      <c r="E37" s="79"/>
      <c r="F37" s="79"/>
      <c r="G37" s="79"/>
      <c r="H37" s="79"/>
      <c r="I37" s="79"/>
      <c r="J37" s="79"/>
      <c r="K37" s="79"/>
      <c r="L37" s="79"/>
      <c r="M37" s="79"/>
      <c r="N37" s="79"/>
      <c r="O37" s="79"/>
      <c r="P37" s="79"/>
    </row>
    <row r="38" spans="2:16" x14ac:dyDescent="0.25">
      <c r="B38" s="79"/>
      <c r="C38" s="79"/>
      <c r="D38" s="79"/>
      <c r="E38" s="79"/>
      <c r="F38" s="79"/>
      <c r="G38" s="79"/>
      <c r="H38" s="79"/>
      <c r="I38" s="79"/>
      <c r="J38" s="79"/>
      <c r="K38" s="79"/>
      <c r="L38" s="79"/>
      <c r="M38" s="79"/>
      <c r="N38" s="79"/>
      <c r="O38" s="79"/>
      <c r="P38" s="79"/>
    </row>
  </sheetData>
  <mergeCells count="37">
    <mergeCell ref="B35:P35"/>
    <mergeCell ref="B36:P36"/>
    <mergeCell ref="B37:P37"/>
    <mergeCell ref="B38:P38"/>
    <mergeCell ref="B29:P29"/>
    <mergeCell ref="B30:P30"/>
    <mergeCell ref="B31:P31"/>
    <mergeCell ref="B32:P32"/>
    <mergeCell ref="B33:P33"/>
    <mergeCell ref="B34:P34"/>
    <mergeCell ref="B28:P28"/>
    <mergeCell ref="B17:P17"/>
    <mergeCell ref="B18:P18"/>
    <mergeCell ref="B19:P19"/>
    <mergeCell ref="B20:P20"/>
    <mergeCell ref="B21:P21"/>
    <mergeCell ref="B22:P22"/>
    <mergeCell ref="B23:P23"/>
    <mergeCell ref="B24:P24"/>
    <mergeCell ref="B25:P25"/>
    <mergeCell ref="B26:P26"/>
    <mergeCell ref="B27:P27"/>
    <mergeCell ref="B16:P16"/>
    <mergeCell ref="B8:P8"/>
    <mergeCell ref="B9:P9"/>
    <mergeCell ref="B10:P10"/>
    <mergeCell ref="B11:P11"/>
    <mergeCell ref="B12:P12"/>
    <mergeCell ref="B13:P13"/>
    <mergeCell ref="B14:P14"/>
    <mergeCell ref="B15:P15"/>
    <mergeCell ref="B7:P7"/>
    <mergeCell ref="B1:P1"/>
    <mergeCell ref="B2:P2"/>
    <mergeCell ref="B3:P3"/>
    <mergeCell ref="B4:P4"/>
    <mergeCell ref="B5:P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23</vt:i4>
      </vt:variant>
    </vt:vector>
  </HeadingPairs>
  <TitlesOfParts>
    <vt:vector size="27" baseType="lpstr">
      <vt:lpstr>Rekenblad</vt:lpstr>
      <vt:lpstr>Kopieren</vt:lpstr>
      <vt:lpstr>Variabelen</vt:lpstr>
      <vt:lpstr>versie</vt:lpstr>
      <vt:lpstr>AOW_5</vt:lpstr>
      <vt:lpstr>de_naam</vt:lpstr>
      <vt:lpstr>FORmax</vt:lpstr>
      <vt:lpstr>FORpercentage</vt:lpstr>
      <vt:lpstr>franchise</vt:lpstr>
      <vt:lpstr>jaar</vt:lpstr>
      <vt:lpstr>loondienst</vt:lpstr>
      <vt:lpstr>maxjaarruimte</vt:lpstr>
      <vt:lpstr>maxPG</vt:lpstr>
      <vt:lpstr>maxsalaris</vt:lpstr>
      <vt:lpstr>ondernemer</vt:lpstr>
      <vt:lpstr>percentage</vt:lpstr>
      <vt:lpstr>rekenjaar</vt:lpstr>
      <vt:lpstr>rekenjaarmin1</vt:lpstr>
      <vt:lpstr>rekenjaarmin10</vt:lpstr>
      <vt:lpstr>rekenjaarmin2</vt:lpstr>
      <vt:lpstr>rekenjaarmin3</vt:lpstr>
      <vt:lpstr>rekenjaarmin4</vt:lpstr>
      <vt:lpstr>rekenjaarmin5</vt:lpstr>
      <vt:lpstr>rekenjaarmin6</vt:lpstr>
      <vt:lpstr>rekenjaarmin7</vt:lpstr>
      <vt:lpstr>rekenjaarmin8</vt:lpstr>
      <vt:lpstr>rekenjaarmin9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Jeltje Nijdam</dc:creator>
  <cp:lastModifiedBy>Jeltje Nijdam</cp:lastModifiedBy>
  <dcterms:created xsi:type="dcterms:W3CDTF">2023-08-02T09:19:43Z</dcterms:created>
  <dcterms:modified xsi:type="dcterms:W3CDTF">2025-01-07T11:39:05Z</dcterms:modified>
</cp:coreProperties>
</file>